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banaszak\Downloads\"/>
    </mc:Choice>
  </mc:AlternateContent>
  <xr:revisionPtr revIDLastSave="0" documentId="8_{E4322BB8-C4FC-4B12-B1FA-6755EB59048C}" xr6:coauthVersionLast="44" xr6:coauthVersionMax="44" xr10:uidLastSave="{00000000-0000-0000-0000-000000000000}"/>
  <bookViews>
    <workbookView xWindow="1500" yWindow="1500" windowWidth="17280" windowHeight="8964" xr2:uid="{00000000-000D-0000-FFFF-FFFF00000000}"/>
  </bookViews>
  <sheets>
    <sheet name="Sheet1" sheetId="1" r:id="rId1"/>
    <sheet name="allocation" sheetId="3" state="hidden" r:id="rId2"/>
  </sheets>
  <definedNames>
    <definedName name="_xlnm._FilterDatabase" localSheetId="0" hidden="1">Sheet1!$A$1:$AC$344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Sheet1!$A$1:$AA$361</definedName>
    <definedName name="_xlnm.Print_Titles" localSheetId="0">Sheet1!$A:$G,Sheet1!$1:$2</definedName>
    <definedName name="QB_COLUMN_59200" localSheetId="0" hidden="1">Sheet1!$K$2</definedName>
    <definedName name="QB_COLUMN_62220" localSheetId="0" hidden="1">Sheet1!$U$2</definedName>
    <definedName name="QB_COLUMN_76210" localSheetId="0" hidden="1">Sheet1!$M$2</definedName>
    <definedName name="QB_COLUMN_76230" localSheetId="0" hidden="1">Sheet1!#REF!</definedName>
    <definedName name="QB_COLUMN_76240" localSheetId="0" hidden="1">Sheet1!$W$2</definedName>
    <definedName name="QB_DATA_0" localSheetId="0" hidden="1">Sheet1!$7:$7,Sheet1!$9:$9,Sheet1!$10:$10,Sheet1!$11:$11,Sheet1!$16:$16,Sheet1!$17:$17,Sheet1!$18:$18,Sheet1!$19:$19,Sheet1!$20:$20,Sheet1!$23:$23,Sheet1!$24:$24,Sheet1!$25:$25,Sheet1!$28:$28,Sheet1!$29:$29,Sheet1!$30:$30,Sheet1!$35:$35</definedName>
    <definedName name="QB_DATA_1" localSheetId="0" hidden="1">Sheet1!$36:$36,Sheet1!$37:$37,Sheet1!$40:$40,Sheet1!$41:$41,Sheet1!$42:$42,Sheet1!$43:$43,Sheet1!#REF!,Sheet1!$49:$49,Sheet1!$50:$50,Sheet1!$51:$51,Sheet1!$52:$52,Sheet1!$54:$54,Sheet1!$55:$55,Sheet1!$56:$56,Sheet1!$57:$57,Sheet1!$58:$58</definedName>
    <definedName name="QB_DATA_10" localSheetId="0" hidden="1">Sheet1!$305:$305,Sheet1!$307:$307,Sheet1!$308:$308,Sheet1!$314:$314,Sheet1!$315:$315,Sheet1!$316:$316,Sheet1!$317:$317,Sheet1!$321:$321,Sheet1!$322:$322,Sheet1!$324:$324,Sheet1!$328:$328,Sheet1!$331:$331,Sheet1!$332:$332,Sheet1!$333:$333,Sheet1!$334:$334,Sheet1!$335:$335</definedName>
    <definedName name="QB_DATA_11" localSheetId="0" hidden="1">Sheet1!$336:$336,Sheet1!$337:$337,Sheet1!$338:$338</definedName>
    <definedName name="QB_DATA_2" localSheetId="0" hidden="1">Sheet1!$59:$59,Sheet1!$63:$63,Sheet1!$92:$92,Sheet1!$67:$67,Sheet1!$70:$70,Sheet1!$71:$71,Sheet1!$72:$72,Sheet1!$75:$75,Sheet1!$78:$78,Sheet1!$80:$80,Sheet1!$89:$89,Sheet1!$90:$90,Sheet1!$91:$91,Sheet1!$93:$93,Sheet1!$94:$94,Sheet1!$95:$95</definedName>
    <definedName name="QB_DATA_3" localSheetId="0" hidden="1">Sheet1!$96:$96,Sheet1!$97:$97,Sheet1!$98:$98,Sheet1!$99:$99,Sheet1!$100:$100,Sheet1!$101:$101,Sheet1!$102:$102,Sheet1!$103:$103,Sheet1!$104:$104,Sheet1!$105:$105,Sheet1!$106:$106,Sheet1!$107:$107,Sheet1!$112:$112,Sheet1!$115:$115,Sheet1!$116:$116,Sheet1!$117:$117</definedName>
    <definedName name="QB_DATA_4" localSheetId="0" hidden="1">Sheet1!$118:$118,Sheet1!$119:$119,Sheet1!$120:$120,Sheet1!$121:$121,Sheet1!$122:$122,Sheet1!$124:$124,Sheet1!$130:$130,Sheet1!$131:$131,Sheet1!$132:$132,Sheet1!$134:$134,Sheet1!$137:$137,Sheet1!$138:$138,Sheet1!$142:$142,Sheet1!$143:$143,Sheet1!$144:$144,Sheet1!$145:$145</definedName>
    <definedName name="QB_DATA_5" localSheetId="0" hidden="1">Sheet1!$148:$148,Sheet1!$151:$151,Sheet1!$152:$152,Sheet1!$153:$153,Sheet1!$154:$154,Sheet1!$156:$156,Sheet1!$157:$157,Sheet1!$158:$158,Sheet1!$164:$164,Sheet1!$165:$165,Sheet1!$166:$166,Sheet1!$167:$167,Sheet1!$168:$168,Sheet1!$169:$169,Sheet1!$173:$173,Sheet1!$174:$174</definedName>
    <definedName name="QB_DATA_6" localSheetId="0" hidden="1">Sheet1!$175:$175,Sheet1!$176:$176,Sheet1!$180:$180,Sheet1!$181:$181,Sheet1!$182:$182,Sheet1!$186:$186,Sheet1!$187:$187,Sheet1!$188:$188,Sheet1!$189:$189,Sheet1!$192:$192,Sheet1!$194:$194,Sheet1!$197:$197,Sheet1!$198:$198,Sheet1!$199:$199,Sheet1!$200:$200,Sheet1!$201:$201</definedName>
    <definedName name="QB_DATA_7" localSheetId="0" hidden="1">Sheet1!$202:$202,Sheet1!$203:$203,Sheet1!$204:$204,Sheet1!$205:$205,Sheet1!$206:$206,Sheet1!$212:$212,Sheet1!$213:$213,Sheet1!$214:$214,Sheet1!$215:$215,Sheet1!$220:$220,Sheet1!$221:$221,Sheet1!$224:$224,Sheet1!$225:$225,Sheet1!$228:$228,Sheet1!$229:$229,Sheet1!$231:$231</definedName>
    <definedName name="QB_DATA_8" localSheetId="0" hidden="1">Sheet1!$237:$237,Sheet1!$238:$238,Sheet1!$239:$239,Sheet1!$240:$240,Sheet1!$245:$245,Sheet1!$246:$246,Sheet1!$247:$247,Sheet1!$251:$251,Sheet1!$252:$252,Sheet1!$253:$253,Sheet1!$254:$254,Sheet1!$257:$257,Sheet1!$258:$258,Sheet1!$259:$259,Sheet1!$262:$262,Sheet1!$264:$264</definedName>
    <definedName name="QB_DATA_9" localSheetId="0" hidden="1">Sheet1!$266:$266,Sheet1!$267:$267,Sheet1!$268:$268,Sheet1!$269:$269,Sheet1!$275:$275,Sheet1!$276:$276,Sheet1!$277:$277,Sheet1!$282:$282,Sheet1!$285:$285,Sheet1!$290:$290,Sheet1!#REF!,Sheet1!$296:$296,Sheet1!$298:$298,Sheet1!$299:$299,Sheet1!$303:$303,Sheet1!$304:$304</definedName>
    <definedName name="QB_FORMULA_0" localSheetId="0" hidden="1">Sheet1!$K$12,Sheet1!$M$12,Sheet1!$U$12,Sheet1!#REF!,Sheet1!$W$12,Sheet1!$K$13,Sheet1!$M$13,Sheet1!$U$13,Sheet1!#REF!,Sheet1!$W$13,Sheet1!$K$21,Sheet1!$M$21,Sheet1!$U$21,Sheet1!#REF!,Sheet1!$W$21,Sheet1!$K$26</definedName>
    <definedName name="QB_FORMULA_1" localSheetId="0" hidden="1">Sheet1!$M$26,Sheet1!$U$26,Sheet1!#REF!,Sheet1!$W$26,Sheet1!$K$31,Sheet1!$M$31,Sheet1!$U$31,Sheet1!#REF!,Sheet1!$W$31,Sheet1!$K$32,Sheet1!$M$32,Sheet1!$U$32,Sheet1!#REF!,Sheet1!$W$32,Sheet1!$K$38,Sheet1!$M$38</definedName>
    <definedName name="QB_FORMULA_10" localSheetId="0" hidden="1">Sheet1!$M$222,Sheet1!$U$222,Sheet1!#REF!,Sheet1!$W$222,Sheet1!$K$226,Sheet1!$M$226,Sheet1!$U$226,Sheet1!#REF!,Sheet1!$W$226,Sheet1!$K$232,Sheet1!$M$232,Sheet1!$U$232,Sheet1!#REF!,Sheet1!$W$232,Sheet1!$K$233,Sheet1!$M$233</definedName>
    <definedName name="QB_FORMULA_11" localSheetId="0" hidden="1">Sheet1!$U$233,Sheet1!#REF!,Sheet1!$W$233,Sheet1!$K$243,Sheet1!$M$243,Sheet1!$U$243,Sheet1!#REF!,Sheet1!$W$243,Sheet1!$K$249,Sheet1!$U$249,Sheet1!$K$255,Sheet1!$M$255,Sheet1!$U$255,Sheet1!#REF!,Sheet1!$W$255,Sheet1!$K$260</definedName>
    <definedName name="QB_FORMULA_12" localSheetId="0" hidden="1">Sheet1!$M$260,Sheet1!$U$260,Sheet1!#REF!,Sheet1!$W$260,Sheet1!$K$270,Sheet1!$M$270,Sheet1!$U$270,Sheet1!#REF!,Sheet1!$W$270,Sheet1!$K$271,Sheet1!$M$271,Sheet1!$U$271,Sheet1!#REF!,Sheet1!$W$271,Sheet1!$K$280,Sheet1!$M$280</definedName>
    <definedName name="QB_FORMULA_13" localSheetId="0" hidden="1">Sheet1!$U$280,Sheet1!#REF!,Sheet1!$W$280,Sheet1!$K$283,Sheet1!$M$283,Sheet1!$U$283,Sheet1!#REF!,Sheet1!$W$283,Sheet1!$K$291,Sheet1!$M$291,Sheet1!$U$291,Sheet1!#REF!,Sheet1!$W$291,Sheet1!$K$292,Sheet1!$M$292,Sheet1!$U$292</definedName>
    <definedName name="QB_FORMULA_14" localSheetId="0" hidden="1">Sheet1!#REF!,Sheet1!$W$292,Sheet1!$K$301,Sheet1!$M$301,Sheet1!$U$301,Sheet1!#REF!,Sheet1!$W$301,Sheet1!$K$309,Sheet1!$M$309,Sheet1!$U$309,Sheet1!#REF!,Sheet1!$W$309,Sheet1!$K$310,Sheet1!$M$310,Sheet1!$U$310,Sheet1!#REF!</definedName>
    <definedName name="QB_FORMULA_15" localSheetId="0" hidden="1">Sheet1!$W$310,Sheet1!$K$319,Sheet1!$M$319,Sheet1!$U$319,Sheet1!#REF!,Sheet1!$W$319,Sheet1!$K$325,Sheet1!$M$325,Sheet1!$U$325,Sheet1!#REF!,Sheet1!$W$325,Sheet1!$K$329,Sheet1!$M$329,Sheet1!$U$329,Sheet1!#REF!,Sheet1!$W$329</definedName>
    <definedName name="QB_FORMULA_16" localSheetId="0" hidden="1">Sheet1!$K$339,Sheet1!$M$339,Sheet1!$U$339,Sheet1!#REF!,Sheet1!$W$339,Sheet1!$K$340,Sheet1!$M$340,Sheet1!$U$340,Sheet1!#REF!,Sheet1!$W$340,Sheet1!$K$341,Sheet1!$M$341,Sheet1!$U$341,Sheet1!#REF!,Sheet1!$W$341,Sheet1!$K$342</definedName>
    <definedName name="QB_FORMULA_17" localSheetId="0" hidden="1">Sheet1!$M$342,Sheet1!$U$342,Sheet1!#REF!,Sheet1!$W$342,Sheet1!$K$343,Sheet1!$M$343,Sheet1!$U$343,Sheet1!#REF!,Sheet1!$W$343</definedName>
    <definedName name="QB_FORMULA_2" localSheetId="0" hidden="1">Sheet1!$U$38,Sheet1!#REF!,Sheet1!$W$38,Sheet1!$K$46,Sheet1!$M$46,Sheet1!$U$46,Sheet1!#REF!,Sheet1!$W$46,Sheet1!$K$47,Sheet1!$M$47,Sheet1!$U$47,Sheet1!#REF!,Sheet1!$W$47,Sheet1!$K$60,Sheet1!$M$60,Sheet1!$U$60</definedName>
    <definedName name="QB_FORMULA_3" localSheetId="0" hidden="1">Sheet1!#REF!,Sheet1!$W$60,Sheet1!$K$64,Sheet1!$U$64,Sheet1!$K$68,Sheet1!$M$68,Sheet1!$U$68,Sheet1!#REF!,Sheet1!$W$68,Sheet1!$K$76,Sheet1!$M$76,Sheet1!$U$76,Sheet1!#REF!,Sheet1!$W$76,Sheet1!$K$81,Sheet1!$M$81</definedName>
    <definedName name="QB_FORMULA_4" localSheetId="0" hidden="1">Sheet1!$U$81,Sheet1!#REF!,Sheet1!$W$81,Sheet1!$K$82,Sheet1!$M$82,Sheet1!$U$82,Sheet1!#REF!,Sheet1!$W$82,Sheet1!$K$83,Sheet1!$M$83,Sheet1!$U$83,Sheet1!#REF!,Sheet1!$W$83,Sheet1!$K$113,Sheet1!$M$113,Sheet1!$U$113</definedName>
    <definedName name="QB_FORMULA_5" localSheetId="0" hidden="1">Sheet1!#REF!,Sheet1!$W$113,Sheet1!$K$125,Sheet1!$M$125,Sheet1!$U$125,Sheet1!#REF!,Sheet1!$W$125,Sheet1!$K$126,Sheet1!$M$126,Sheet1!$U$126,Sheet1!#REF!,Sheet1!$W$126,Sheet1!$K$135,Sheet1!$M$135,Sheet1!$U$135,Sheet1!#REF!</definedName>
    <definedName name="QB_FORMULA_6" localSheetId="0" hidden="1">Sheet1!$W$135,Sheet1!$K$140,Sheet1!$U$140,Sheet1!$K$146,Sheet1!$M$146,Sheet1!$U$146,Sheet1!#REF!,Sheet1!$W$146,Sheet1!$K$149,Sheet1!$M$149,Sheet1!$U$149,Sheet1!#REF!,Sheet1!$W$149,Sheet1!$K$159,Sheet1!$M$159,Sheet1!$U$159</definedName>
    <definedName name="QB_FORMULA_7" localSheetId="0" hidden="1">Sheet1!#REF!,Sheet1!$W$159,Sheet1!$K$160,Sheet1!$M$160,Sheet1!$U$160,Sheet1!#REF!,Sheet1!$W$160,Sheet1!$K$171,Sheet1!$M$171,Sheet1!$U$171,Sheet1!#REF!,Sheet1!$W$171,Sheet1!$K$177,Sheet1!$M$177,Sheet1!$U$177,Sheet1!#REF!</definedName>
    <definedName name="QB_FORMULA_8" localSheetId="0" hidden="1">Sheet1!$W$177,Sheet1!$K$184,Sheet1!$M$184,Sheet1!$U$184,Sheet1!#REF!,Sheet1!$W$184,Sheet1!$K$190,Sheet1!$M$190,Sheet1!$U$190,Sheet1!#REF!,Sheet1!$W$190,Sheet1!$K$195,Sheet1!$M$195,Sheet1!$U$195,Sheet1!#REF!,Sheet1!$W$195</definedName>
    <definedName name="QB_FORMULA_9" localSheetId="0" hidden="1">Sheet1!$K$207,Sheet1!$M$207,Sheet1!$U$207,Sheet1!#REF!,Sheet1!$W$207,Sheet1!$K$208,Sheet1!$M$208,Sheet1!$U$208,Sheet1!#REF!,Sheet1!$W$208,Sheet1!$K$218,Sheet1!$M$218,Sheet1!$U$218,Sheet1!#REF!,Sheet1!$W$218,Sheet1!$K$222</definedName>
    <definedName name="QB_ROW_18301" localSheetId="0" hidden="1">Sheet1!$A$343</definedName>
    <definedName name="QB_ROW_19011" localSheetId="0" hidden="1">Sheet1!$B$3</definedName>
    <definedName name="QB_ROW_19311" localSheetId="0" hidden="1">Sheet1!$B$342</definedName>
    <definedName name="QB_ROW_197040" localSheetId="0" hidden="1">Sheet1!$E$5</definedName>
    <definedName name="QB_ROW_197340" localSheetId="0" hidden="1">Sheet1!$E$13</definedName>
    <definedName name="QB_ROW_198050" localSheetId="0" hidden="1">Sheet1!$F$6</definedName>
    <definedName name="QB_ROW_198350" localSheetId="0" hidden="1">Sheet1!$F$12</definedName>
    <definedName name="QB_ROW_199260" localSheetId="0" hidden="1">Sheet1!$G$7</definedName>
    <definedName name="QB_ROW_200260" localSheetId="0" hidden="1">Sheet1!$G$9</definedName>
    <definedName name="QB_ROW_20031" localSheetId="0" hidden="1">Sheet1!$D$4</definedName>
    <definedName name="QB_ROW_201260" localSheetId="0" hidden="1">Sheet1!$G$10</definedName>
    <definedName name="QB_ROW_202260" localSheetId="0" hidden="1">Sheet1!$G$11</definedName>
    <definedName name="QB_ROW_203040" localSheetId="0" hidden="1">Sheet1!$E$14</definedName>
    <definedName name="QB_ROW_20331" localSheetId="0" hidden="1">Sheet1!$D$82</definedName>
    <definedName name="QB_ROW_203340" localSheetId="0" hidden="1">Sheet1!$E$32</definedName>
    <definedName name="QB_ROW_204050" localSheetId="0" hidden="1">Sheet1!$F$15</definedName>
    <definedName name="QB_ROW_204350" localSheetId="0" hidden="1">Sheet1!$F$21</definedName>
    <definedName name="QB_ROW_205260" localSheetId="0" hidden="1">Sheet1!$G$17</definedName>
    <definedName name="QB_ROW_206260" localSheetId="0" hidden="1">Sheet1!$G$18</definedName>
    <definedName name="QB_ROW_207260" localSheetId="0" hidden="1">Sheet1!$G$19</definedName>
    <definedName name="QB_ROW_208260" localSheetId="0" hidden="1">Sheet1!$G$20</definedName>
    <definedName name="QB_ROW_209260" localSheetId="0" hidden="1">Sheet1!$G$16</definedName>
    <definedName name="QB_ROW_210050" localSheetId="0" hidden="1">Sheet1!$F$22</definedName>
    <definedName name="QB_ROW_21031" localSheetId="0" hidden="1">Sheet1!$D$85</definedName>
    <definedName name="QB_ROW_210350" localSheetId="0" hidden="1">Sheet1!$F$26</definedName>
    <definedName name="QB_ROW_211260" localSheetId="0" hidden="1">Sheet1!$G$23</definedName>
    <definedName name="QB_ROW_212260" localSheetId="0" hidden="1">Sheet1!$G$24</definedName>
    <definedName name="QB_ROW_213260" localSheetId="0" hidden="1">Sheet1!$G$25</definedName>
    <definedName name="QB_ROW_21331" localSheetId="0" hidden="1">Sheet1!$D$341</definedName>
    <definedName name="QB_ROW_214050" localSheetId="0" hidden="1">Sheet1!$F$27</definedName>
    <definedName name="QB_ROW_214350" localSheetId="0" hidden="1">Sheet1!$F$31</definedName>
    <definedName name="QB_ROW_215260" localSheetId="0" hidden="1">Sheet1!$G$28</definedName>
    <definedName name="QB_ROW_216260" localSheetId="0" hidden="1">Sheet1!$G$29</definedName>
    <definedName name="QB_ROW_217260" localSheetId="0" hidden="1">Sheet1!$G$30</definedName>
    <definedName name="QB_ROW_218040" localSheetId="0" hidden="1">Sheet1!$E$33</definedName>
    <definedName name="QB_ROW_218340" localSheetId="0" hidden="1">Sheet1!$E$47</definedName>
    <definedName name="QB_ROW_219050" localSheetId="0" hidden="1">Sheet1!$F$34</definedName>
    <definedName name="QB_ROW_219350" localSheetId="0" hidden="1">Sheet1!$F$38</definedName>
    <definedName name="QB_ROW_220260" localSheetId="0" hidden="1">Sheet1!$G$35</definedName>
    <definedName name="QB_ROW_221260" localSheetId="0" hidden="1">Sheet1!$G$36</definedName>
    <definedName name="QB_ROW_222260" localSheetId="0" hidden="1">Sheet1!$G$37</definedName>
    <definedName name="QB_ROW_223050" localSheetId="0" hidden="1">Sheet1!$F$39</definedName>
    <definedName name="QB_ROW_223350" localSheetId="0" hidden="1">Sheet1!$F$46</definedName>
    <definedName name="QB_ROW_224260" localSheetId="0" hidden="1">Sheet1!$G$41</definedName>
    <definedName name="QB_ROW_225260" localSheetId="0" hidden="1">Sheet1!$G$42</definedName>
    <definedName name="QB_ROW_226260" localSheetId="0" hidden="1">Sheet1!$G$43</definedName>
    <definedName name="QB_ROW_228260" localSheetId="0" hidden="1">Sheet1!#REF!</definedName>
    <definedName name="QB_ROW_229040" localSheetId="0" hidden="1">Sheet1!$E$48</definedName>
    <definedName name="QB_ROW_229340" localSheetId="0" hidden="1">Sheet1!$E$60</definedName>
    <definedName name="QB_ROW_230250" localSheetId="0" hidden="1">Sheet1!$F$49</definedName>
    <definedName name="QB_ROW_231250" localSheetId="0" hidden="1">Sheet1!$F$50</definedName>
    <definedName name="QB_ROW_232250" localSheetId="0" hidden="1">Sheet1!$F$51</definedName>
    <definedName name="QB_ROW_233250" localSheetId="0" hidden="1">Sheet1!$F$52</definedName>
    <definedName name="QB_ROW_235250" localSheetId="0" hidden="1">Sheet1!$F$54</definedName>
    <definedName name="QB_ROW_236250" localSheetId="0" hidden="1">Sheet1!$F$55</definedName>
    <definedName name="QB_ROW_237250" localSheetId="0" hidden="1">Sheet1!$F$56</definedName>
    <definedName name="QB_ROW_238250" localSheetId="0" hidden="1">Sheet1!$F$58</definedName>
    <definedName name="QB_ROW_239040" localSheetId="0" hidden="1">Sheet1!$E$61</definedName>
    <definedName name="QB_ROW_239340" localSheetId="0" hidden="1">Sheet1!$E$64</definedName>
    <definedName name="QB_ROW_241250" localSheetId="0" hidden="1">Sheet1!$F$63</definedName>
    <definedName name="QB_ROW_242250" localSheetId="0" hidden="1">Sheet1!$G$92</definedName>
    <definedName name="QB_ROW_243040" localSheetId="0" hidden="1">Sheet1!$E$65</definedName>
    <definedName name="QB_ROW_243340" localSheetId="0" hidden="1">Sheet1!$E$68</definedName>
    <definedName name="QB_ROW_246250" localSheetId="0" hidden="1">Sheet1!$F$67</definedName>
    <definedName name="QB_ROW_248040" localSheetId="0" hidden="1">Sheet1!$E$77</definedName>
    <definedName name="QB_ROW_248340" localSheetId="0" hidden="1">Sheet1!$E$81</definedName>
    <definedName name="QB_ROW_249250" localSheetId="0" hidden="1">Sheet1!$F$78</definedName>
    <definedName name="QB_ROW_250250" localSheetId="0" hidden="1">Sheet1!$F$80</definedName>
    <definedName name="QB_ROW_251260" localSheetId="0" hidden="1">Sheet1!$G$40</definedName>
    <definedName name="QB_ROW_252040" localSheetId="0" hidden="1">Sheet1!$E$69</definedName>
    <definedName name="QB_ROW_252340" localSheetId="0" hidden="1">Sheet1!$E$76</definedName>
    <definedName name="QB_ROW_253250" localSheetId="0" hidden="1">Sheet1!$F$70</definedName>
    <definedName name="QB_ROW_254250" localSheetId="0" hidden="1">Sheet1!$F$71</definedName>
    <definedName name="QB_ROW_255250" localSheetId="0" hidden="1">Sheet1!$F$72</definedName>
    <definedName name="QB_ROW_257250" localSheetId="0" hidden="1">Sheet1!$F$75</definedName>
    <definedName name="QB_ROW_259040" localSheetId="0" hidden="1">Sheet1!$E$87</definedName>
    <definedName name="QB_ROW_259340" localSheetId="0" hidden="1">Sheet1!$E$126</definedName>
    <definedName name="QB_ROW_260050" localSheetId="0" hidden="1">Sheet1!$F$88</definedName>
    <definedName name="QB_ROW_260260" localSheetId="0" hidden="1">Sheet1!$G$112</definedName>
    <definedName name="QB_ROW_260350" localSheetId="0" hidden="1">Sheet1!$F$113</definedName>
    <definedName name="QB_ROW_261260" localSheetId="0" hidden="1">Sheet1!$G$89</definedName>
    <definedName name="QB_ROW_262260" localSheetId="0" hidden="1">Sheet1!$G$90</definedName>
    <definedName name="QB_ROW_263260" localSheetId="0" hidden="1">Sheet1!$G$94</definedName>
    <definedName name="QB_ROW_264260" localSheetId="0" hidden="1">Sheet1!$G$95</definedName>
    <definedName name="QB_ROW_265260" localSheetId="0" hidden="1">Sheet1!$G$96</definedName>
    <definedName name="QB_ROW_266260" localSheetId="0" hidden="1">Sheet1!$G$97</definedName>
    <definedName name="QB_ROW_267260" localSheetId="0" hidden="1">Sheet1!$G$98</definedName>
    <definedName name="QB_ROW_268260" localSheetId="0" hidden="1">Sheet1!$G$99</definedName>
    <definedName name="QB_ROW_269260" localSheetId="0" hidden="1">Sheet1!$G$100</definedName>
    <definedName name="QB_ROW_270260" localSheetId="0" hidden="1">Sheet1!$G$101</definedName>
    <definedName name="QB_ROW_271260" localSheetId="0" hidden="1">Sheet1!$G$102</definedName>
    <definedName name="QB_ROW_272260" localSheetId="0" hidden="1">Sheet1!$G$103</definedName>
    <definedName name="QB_ROW_273260" localSheetId="0" hidden="1">Sheet1!$G$104</definedName>
    <definedName name="QB_ROW_274260" localSheetId="0" hidden="1">Sheet1!$G$105</definedName>
    <definedName name="QB_ROW_275050" localSheetId="0" hidden="1">Sheet1!$F$114</definedName>
    <definedName name="QB_ROW_275350" localSheetId="0" hidden="1">Sheet1!$F$125</definedName>
    <definedName name="QB_ROW_276260" localSheetId="0" hidden="1">Sheet1!$G$115</definedName>
    <definedName name="QB_ROW_277260" localSheetId="0" hidden="1">Sheet1!$G$116</definedName>
    <definedName name="QB_ROW_278260" localSheetId="0" hidden="1">Sheet1!$G$117</definedName>
    <definedName name="QB_ROW_279260" localSheetId="0" hidden="1">Sheet1!$G$118</definedName>
    <definedName name="QB_ROW_280260" localSheetId="0" hidden="1">Sheet1!$G$119</definedName>
    <definedName name="QB_ROW_281260" localSheetId="0" hidden="1">Sheet1!$G$120</definedName>
    <definedName name="QB_ROW_282260" localSheetId="0" hidden="1">Sheet1!$G$121</definedName>
    <definedName name="QB_ROW_283040" localSheetId="0" hidden="1">Sheet1!$E$128</definedName>
    <definedName name="QB_ROW_283340" localSheetId="0" hidden="1">Sheet1!$E$160</definedName>
    <definedName name="QB_ROW_284050" localSheetId="0" hidden="1">Sheet1!$F$129</definedName>
    <definedName name="QB_ROW_284350" localSheetId="0" hidden="1">Sheet1!$F$135</definedName>
    <definedName name="QB_ROW_285260" localSheetId="0" hidden="1">Sheet1!$G$130</definedName>
    <definedName name="QB_ROW_286260" localSheetId="0" hidden="1">Sheet1!$G$131</definedName>
    <definedName name="QB_ROW_288260" localSheetId="0" hidden="1">Sheet1!$G$132</definedName>
    <definedName name="QB_ROW_289260" localSheetId="0" hidden="1">Sheet1!$G$134</definedName>
    <definedName name="QB_ROW_290050" localSheetId="0" hidden="1">Sheet1!$F$141</definedName>
    <definedName name="QB_ROW_290350" localSheetId="0" hidden="1">Sheet1!$F$146</definedName>
    <definedName name="QB_ROW_291260" localSheetId="0" hidden="1">Sheet1!$G$142</definedName>
    <definedName name="QB_ROW_292260" localSheetId="0" hidden="1">Sheet1!$G$143</definedName>
    <definedName name="QB_ROW_293260" localSheetId="0" hidden="1">Sheet1!$G$144</definedName>
    <definedName name="QB_ROW_294260" localSheetId="0" hidden="1">Sheet1!$G$145</definedName>
    <definedName name="QB_ROW_295050" localSheetId="0" hidden="1">Sheet1!$F$147</definedName>
    <definedName name="QB_ROW_295350" localSheetId="0" hidden="1">Sheet1!$F$149</definedName>
    <definedName name="QB_ROW_297260" localSheetId="0" hidden="1">Sheet1!$G$148</definedName>
    <definedName name="QB_ROW_298050" localSheetId="0" hidden="1">Sheet1!$F$150</definedName>
    <definedName name="QB_ROW_298350" localSheetId="0" hidden="1">Sheet1!$F$159</definedName>
    <definedName name="QB_ROW_299260" localSheetId="0" hidden="1">Sheet1!$G$151</definedName>
    <definedName name="QB_ROW_300260" localSheetId="0" hidden="1">Sheet1!$G$152</definedName>
    <definedName name="QB_ROW_301260" localSheetId="0" hidden="1">Sheet1!$G$153</definedName>
    <definedName name="QB_ROW_302260" localSheetId="0" hidden="1">Sheet1!$G$154</definedName>
    <definedName name="QB_ROW_304260" localSheetId="0" hidden="1">Sheet1!$G$156</definedName>
    <definedName name="QB_ROW_305260" localSheetId="0" hidden="1">Sheet1!$G$157</definedName>
    <definedName name="QB_ROW_306260" localSheetId="0" hidden="1">Sheet1!$G$158</definedName>
    <definedName name="QB_ROW_307040" localSheetId="0" hidden="1">Sheet1!$E$162</definedName>
    <definedName name="QB_ROW_307340" localSheetId="0" hidden="1">Sheet1!$E$208</definedName>
    <definedName name="QB_ROW_308050" localSheetId="0" hidden="1">Sheet1!$F$163</definedName>
    <definedName name="QB_ROW_308350" localSheetId="0" hidden="1">Sheet1!$F$171</definedName>
    <definedName name="QB_ROW_309260" localSheetId="0" hidden="1">Sheet1!$G$164</definedName>
    <definedName name="QB_ROW_310260" localSheetId="0" hidden="1">Sheet1!$G$166</definedName>
    <definedName name="QB_ROW_312260" localSheetId="0" hidden="1">Sheet1!$G$167</definedName>
    <definedName name="QB_ROW_313260" localSheetId="0" hidden="1">Sheet1!$G$168</definedName>
    <definedName name="QB_ROW_314050" localSheetId="0" hidden="1">Sheet1!$F$179</definedName>
    <definedName name="QB_ROW_314350" localSheetId="0" hidden="1">Sheet1!$F$184</definedName>
    <definedName name="QB_ROW_315260" localSheetId="0" hidden="1">Sheet1!$G$180</definedName>
    <definedName name="QB_ROW_316260" localSheetId="0" hidden="1">Sheet1!$G$181</definedName>
    <definedName name="QB_ROW_318260" localSheetId="0" hidden="1">Sheet1!$G$182</definedName>
    <definedName name="QB_ROW_319050" localSheetId="0" hidden="1">Sheet1!$F$185</definedName>
    <definedName name="QB_ROW_319350" localSheetId="0" hidden="1">Sheet1!$F$190</definedName>
    <definedName name="QB_ROW_320260" localSheetId="0" hidden="1">Sheet1!$G$186</definedName>
    <definedName name="QB_ROW_321260" localSheetId="0" hidden="1">Sheet1!$G$187</definedName>
    <definedName name="QB_ROW_322260" localSheetId="0" hidden="1">Sheet1!$G$188</definedName>
    <definedName name="QB_ROW_323260" localSheetId="0" hidden="1">Sheet1!$G$189</definedName>
    <definedName name="QB_ROW_324050" localSheetId="0" hidden="1">Sheet1!$F$191</definedName>
    <definedName name="QB_ROW_324350" localSheetId="0" hidden="1">Sheet1!$F$195</definedName>
    <definedName name="QB_ROW_325260" localSheetId="0" hidden="1">Sheet1!$G$192</definedName>
    <definedName name="QB_ROW_327050" localSheetId="0" hidden="1">Sheet1!$F$196</definedName>
    <definedName name="QB_ROW_327350" localSheetId="0" hidden="1">Sheet1!$F$207</definedName>
    <definedName name="QB_ROW_328260" localSheetId="0" hidden="1">Sheet1!$G$197</definedName>
    <definedName name="QB_ROW_329260" localSheetId="0" hidden="1">Sheet1!$G$198</definedName>
    <definedName name="QB_ROW_330260" localSheetId="0" hidden="1">Sheet1!$G$200</definedName>
    <definedName name="QB_ROW_331260" localSheetId="0" hidden="1">Sheet1!$G$201</definedName>
    <definedName name="QB_ROW_332260" localSheetId="0" hidden="1">Sheet1!$G$202</definedName>
    <definedName name="QB_ROW_333260" localSheetId="0" hidden="1">Sheet1!$G$203</definedName>
    <definedName name="QB_ROW_334260" localSheetId="0" hidden="1">Sheet1!$G$204</definedName>
    <definedName name="QB_ROW_335260" localSheetId="0" hidden="1">Sheet1!$G$199</definedName>
    <definedName name="QB_ROW_336260" localSheetId="0" hidden="1">Sheet1!$G$205</definedName>
    <definedName name="QB_ROW_337260" localSheetId="0" hidden="1">Sheet1!$G$206</definedName>
    <definedName name="QB_ROW_338040" localSheetId="0" hidden="1">Sheet1!$E$210</definedName>
    <definedName name="QB_ROW_338340" localSheetId="0" hidden="1">Sheet1!$E$233</definedName>
    <definedName name="QB_ROW_339050" localSheetId="0" hidden="1">Sheet1!$F$211</definedName>
    <definedName name="QB_ROW_339350" localSheetId="0" hidden="1">Sheet1!$F$218</definedName>
    <definedName name="QB_ROW_340260" localSheetId="0" hidden="1">Sheet1!$G$212</definedName>
    <definedName name="QB_ROW_341260" localSheetId="0" hidden="1">Sheet1!$G$213</definedName>
    <definedName name="QB_ROW_343260" localSheetId="0" hidden="1">Sheet1!$G$214</definedName>
    <definedName name="QB_ROW_344260" localSheetId="0" hidden="1">Sheet1!$G$215</definedName>
    <definedName name="QB_ROW_345050" localSheetId="0" hidden="1">Sheet1!$F$219</definedName>
    <definedName name="QB_ROW_345350" localSheetId="0" hidden="1">Sheet1!$F$222</definedName>
    <definedName name="QB_ROW_346260" localSheetId="0" hidden="1">Sheet1!$G$220</definedName>
    <definedName name="QB_ROW_349260" localSheetId="0" hidden="1">Sheet1!$G$221</definedName>
    <definedName name="QB_ROW_350050" localSheetId="0" hidden="1">Sheet1!$F$223</definedName>
    <definedName name="QB_ROW_350350" localSheetId="0" hidden="1">Sheet1!$F$226</definedName>
    <definedName name="QB_ROW_351260" localSheetId="0" hidden="1">Sheet1!$G$224</definedName>
    <definedName name="QB_ROW_353050" localSheetId="0" hidden="1">Sheet1!$F$227</definedName>
    <definedName name="QB_ROW_353350" localSheetId="0" hidden="1">Sheet1!$F$232</definedName>
    <definedName name="QB_ROW_354260" localSheetId="0" hidden="1">Sheet1!$G$228</definedName>
    <definedName name="QB_ROW_357260" localSheetId="0" hidden="1">Sheet1!$G$229</definedName>
    <definedName name="QB_ROW_358260" localSheetId="0" hidden="1">Sheet1!$G$231</definedName>
    <definedName name="QB_ROW_359040" localSheetId="0" hidden="1">Sheet1!$E$235</definedName>
    <definedName name="QB_ROW_359340" localSheetId="0" hidden="1">Sheet1!$E$271</definedName>
    <definedName name="QB_ROW_360050" localSheetId="0" hidden="1">Sheet1!$F$236</definedName>
    <definedName name="QB_ROW_360350" localSheetId="0" hidden="1">Sheet1!$F$243</definedName>
    <definedName name="QB_ROW_361260" localSheetId="0" hidden="1">Sheet1!$G$237</definedName>
    <definedName name="QB_ROW_362260" localSheetId="0" hidden="1">Sheet1!$G$238</definedName>
    <definedName name="QB_ROW_364260" localSheetId="0" hidden="1">Sheet1!$G$239</definedName>
    <definedName name="QB_ROW_365260" localSheetId="0" hidden="1">Sheet1!$G$240</definedName>
    <definedName name="QB_ROW_366050" localSheetId="0" hidden="1">Sheet1!$F$244</definedName>
    <definedName name="QB_ROW_366350" localSheetId="0" hidden="1">Sheet1!$F$249</definedName>
    <definedName name="QB_ROW_367260" localSheetId="0" hidden="1">Sheet1!$G$245</definedName>
    <definedName name="QB_ROW_368260" localSheetId="0" hidden="1">Sheet1!$G$246</definedName>
    <definedName name="QB_ROW_370050" localSheetId="0" hidden="1">Sheet1!$F$250</definedName>
    <definedName name="QB_ROW_370350" localSheetId="0" hidden="1">Sheet1!$F$255</definedName>
    <definedName name="QB_ROW_371260" localSheetId="0" hidden="1">Sheet1!$G$251</definedName>
    <definedName name="QB_ROW_372260" localSheetId="0" hidden="1">Sheet1!$G$252</definedName>
    <definedName name="QB_ROW_373260" localSheetId="0" hidden="1">Sheet1!$G$253</definedName>
    <definedName name="QB_ROW_374260" localSheetId="0" hidden="1">Sheet1!$G$254</definedName>
    <definedName name="QB_ROW_375050" localSheetId="0" hidden="1">Sheet1!$F$256</definedName>
    <definedName name="QB_ROW_375350" localSheetId="0" hidden="1">Sheet1!$F$260</definedName>
    <definedName name="QB_ROW_376260" localSheetId="0" hidden="1">Sheet1!$G$257</definedName>
    <definedName name="QB_ROW_377260" localSheetId="0" hidden="1">Sheet1!$G$258</definedName>
    <definedName name="QB_ROW_378050" localSheetId="0" hidden="1">Sheet1!$F$261</definedName>
    <definedName name="QB_ROW_378350" localSheetId="0" hidden="1">Sheet1!$F$270</definedName>
    <definedName name="QB_ROW_379260" localSheetId="0" hidden="1">Sheet1!$G$262</definedName>
    <definedName name="QB_ROW_381260" localSheetId="0" hidden="1">Sheet1!$G$264</definedName>
    <definedName name="QB_ROW_383260" localSheetId="0" hidden="1">Sheet1!$G$266</definedName>
    <definedName name="QB_ROW_384260" localSheetId="0" hidden="1">Sheet1!$G$267</definedName>
    <definedName name="QB_ROW_386260" localSheetId="0" hidden="1">Sheet1!$G$268</definedName>
    <definedName name="QB_ROW_388260" localSheetId="0" hidden="1">Sheet1!$G$269</definedName>
    <definedName name="QB_ROW_389040" localSheetId="0" hidden="1">Sheet1!$E$273</definedName>
    <definedName name="QB_ROW_389250" localSheetId="0" hidden="1">Sheet1!#REF!</definedName>
    <definedName name="QB_ROW_389340" localSheetId="0" hidden="1">Sheet1!$E$292</definedName>
    <definedName name="QB_ROW_390050" localSheetId="0" hidden="1">Sheet1!$F$274</definedName>
    <definedName name="QB_ROW_390350" localSheetId="0" hidden="1">Sheet1!$F$280</definedName>
    <definedName name="QB_ROW_391260" localSheetId="0" hidden="1">Sheet1!$G$275</definedName>
    <definedName name="QB_ROW_392260" localSheetId="0" hidden="1">Sheet1!$G$276</definedName>
    <definedName name="QB_ROW_394260" localSheetId="0" hidden="1">Sheet1!$G$277</definedName>
    <definedName name="QB_ROW_396050" localSheetId="0" hidden="1">Sheet1!$F$281</definedName>
    <definedName name="QB_ROW_396350" localSheetId="0" hidden="1">Sheet1!$F$283</definedName>
    <definedName name="QB_ROW_397260" localSheetId="0" hidden="1">Sheet1!$G$282</definedName>
    <definedName name="QB_ROW_399050" localSheetId="0" hidden="1">Sheet1!$F$284</definedName>
    <definedName name="QB_ROW_399350" localSheetId="0" hidden="1">Sheet1!$F$291</definedName>
    <definedName name="QB_ROW_406260" localSheetId="0" hidden="1">Sheet1!$G$290</definedName>
    <definedName name="QB_ROW_407040" localSheetId="0" hidden="1">Sheet1!$E$294</definedName>
    <definedName name="QB_ROW_407340" localSheetId="0" hidden="1">Sheet1!$E$310</definedName>
    <definedName name="QB_ROW_408050" localSheetId="0" hidden="1">Sheet1!$F$295</definedName>
    <definedName name="QB_ROW_408350" localSheetId="0" hidden="1">Sheet1!$F$301</definedName>
    <definedName name="QB_ROW_409260" localSheetId="0" hidden="1">Sheet1!$G$296</definedName>
    <definedName name="QB_ROW_411260" localSheetId="0" hidden="1">Sheet1!$G$298</definedName>
    <definedName name="QB_ROW_414050" localSheetId="0" hidden="1">Sheet1!$F$302</definedName>
    <definedName name="QB_ROW_414350" localSheetId="0" hidden="1">Sheet1!$F$309</definedName>
    <definedName name="QB_ROW_415260" localSheetId="0" hidden="1">Sheet1!$G$303</definedName>
    <definedName name="QB_ROW_416260" localSheetId="0" hidden="1">Sheet1!$G$304</definedName>
    <definedName name="QB_ROW_419260" localSheetId="0" hidden="1">Sheet1!$G$307</definedName>
    <definedName name="QB_ROW_421260" localSheetId="0" hidden="1">Sheet1!$G$308</definedName>
    <definedName name="QB_ROW_422040" localSheetId="0" hidden="1">Sheet1!$E$312</definedName>
    <definedName name="QB_ROW_422340" localSheetId="0" hidden="1">Sheet1!$E$340</definedName>
    <definedName name="QB_ROW_423050" localSheetId="0" hidden="1">Sheet1!$F$313</definedName>
    <definedName name="QB_ROW_423350" localSheetId="0" hidden="1">Sheet1!$F$319</definedName>
    <definedName name="QB_ROW_424260" localSheetId="0" hidden="1">Sheet1!$G$314</definedName>
    <definedName name="QB_ROW_425260" localSheetId="0" hidden="1">Sheet1!$G$315</definedName>
    <definedName name="QB_ROW_427260" localSheetId="0" hidden="1">Sheet1!$G$316</definedName>
    <definedName name="QB_ROW_428050" localSheetId="0" hidden="1">Sheet1!$F$320</definedName>
    <definedName name="QB_ROW_428350" localSheetId="0" hidden="1">Sheet1!$F$325</definedName>
    <definedName name="QB_ROW_429260" localSheetId="0" hidden="1">Sheet1!$G$321</definedName>
    <definedName name="QB_ROW_430260" localSheetId="0" hidden="1">Sheet1!$G$322</definedName>
    <definedName name="QB_ROW_432260" localSheetId="0" hidden="1">Sheet1!$G$324</definedName>
    <definedName name="QB_ROW_434050" localSheetId="0" hidden="1">Sheet1!$F$326</definedName>
    <definedName name="QB_ROW_434350" localSheetId="0" hidden="1">Sheet1!$F$329</definedName>
    <definedName name="QB_ROW_435260" localSheetId="0" hidden="1">Sheet1!$G$328</definedName>
    <definedName name="QB_ROW_437050" localSheetId="0" hidden="1">Sheet1!$F$330</definedName>
    <definedName name="QB_ROW_437350" localSheetId="0" hidden="1">Sheet1!$F$339</definedName>
    <definedName name="QB_ROW_439260" localSheetId="0" hidden="1">Sheet1!$G$332</definedName>
    <definedName name="QB_ROW_441260" localSheetId="0" hidden="1">Sheet1!$G$333</definedName>
    <definedName name="QB_ROW_442260" localSheetId="0" hidden="1">Sheet1!$G$334</definedName>
    <definedName name="QB_ROW_443260" localSheetId="0" hidden="1">Sheet1!$G$335</definedName>
    <definedName name="QB_ROW_444260" localSheetId="0" hidden="1">Sheet1!$G$336</definedName>
    <definedName name="QB_ROW_445260" localSheetId="0" hidden="1">Sheet1!$G$331</definedName>
    <definedName name="QB_ROW_446260" localSheetId="0" hidden="1">Sheet1!$G$338</definedName>
    <definedName name="QB_ROW_448260" localSheetId="0" hidden="1">Sheet1!$G$93</definedName>
    <definedName name="QB_ROW_449050" localSheetId="0" hidden="1">Sheet1!$F$172</definedName>
    <definedName name="QB_ROW_449350" localSheetId="0" hidden="1">Sheet1!$F$177</definedName>
    <definedName name="QB_ROW_450260" localSheetId="0" hidden="1">Sheet1!$G$174</definedName>
    <definedName name="QB_ROW_452260" localSheetId="0" hidden="1">Sheet1!$G$175</definedName>
    <definedName name="QB_ROW_453260" localSheetId="0" hidden="1">Sheet1!$G$176</definedName>
    <definedName name="QB_ROW_454260" localSheetId="0" hidden="1">Sheet1!$G$173</definedName>
    <definedName name="QB_ROW_455050" localSheetId="0" hidden="1">Sheet1!$F$136</definedName>
    <definedName name="QB_ROW_455350" localSheetId="0" hidden="1">Sheet1!$F$140</definedName>
    <definedName name="QB_ROW_456260" localSheetId="0" hidden="1">Sheet1!$G$137</definedName>
    <definedName name="QB_ROW_457260" localSheetId="0" hidden="1">Sheet1!$G$138</definedName>
    <definedName name="QB_ROW_459260" localSheetId="0" hidden="1">Sheet1!$G$91</definedName>
    <definedName name="QB_ROW_460260" localSheetId="0" hidden="1">Sheet1!$G$106</definedName>
    <definedName name="QB_ROW_461260" localSheetId="0" hidden="1">Sheet1!$G$107</definedName>
    <definedName name="QB_ROW_462260" localSheetId="0" hidden="1">Sheet1!$G$122</definedName>
    <definedName name="QB_ROW_463260" localSheetId="0" hidden="1">Sheet1!$G$165</definedName>
    <definedName name="QB_ROW_464260" localSheetId="0" hidden="1">Sheet1!$G$169</definedName>
    <definedName name="QB_ROW_465260" localSheetId="0" hidden="1">Sheet1!$G$194</definedName>
    <definedName name="QB_ROW_466260" localSheetId="0" hidden="1">Sheet1!$G$225</definedName>
    <definedName name="QB_ROW_467260" localSheetId="0" hidden="1">Sheet1!$G$259</definedName>
    <definedName name="QB_ROW_468260" localSheetId="0" hidden="1">Sheet1!$G$305</definedName>
    <definedName name="QB_ROW_469260" localSheetId="0" hidden="1">Sheet1!$G$317</definedName>
    <definedName name="QB_ROW_471260" localSheetId="0" hidden="1">Sheet1!$G$337</definedName>
    <definedName name="QB_ROW_472250" localSheetId="0" hidden="1">Sheet1!$F$57</definedName>
    <definedName name="QB_ROW_473250" localSheetId="0" hidden="1">Sheet1!$F$59</definedName>
    <definedName name="QB_ROW_474260" localSheetId="0" hidden="1">Sheet1!$G$247</definedName>
    <definedName name="QB_ROW_475260" localSheetId="0" hidden="1">Sheet1!$G$285</definedName>
    <definedName name="QB_ROW_476260" localSheetId="0" hidden="1">Sheet1!$G$299</definedName>
    <definedName name="QB_ROW_477260" localSheetId="0" hidden="1">Sheet1!$G$124</definedName>
    <definedName name="QB_ROW_86321" localSheetId="0" hidden="1">Sheet1!$C$83</definedName>
    <definedName name="QBCANSUPPORTUPDATE" localSheetId="0">TRUE</definedName>
    <definedName name="QBCOMPANYFILENAME" localSheetId="0">"F:\Town of Dewey Beach 1.QBW"</definedName>
    <definedName name="QBENDDATE" localSheetId="0">20180831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"338455b71c4f4e83b60c25a2e964f9ef"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7</definedName>
    <definedName name="QBSTARTDATE" localSheetId="0">20180801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1" i="1" l="1"/>
  <c r="U270" i="1"/>
  <c r="U51" i="1"/>
  <c r="U89" i="1"/>
  <c r="Y76" i="1" l="1"/>
  <c r="Y361" i="1"/>
  <c r="Y178" i="1"/>
  <c r="M68" i="1"/>
  <c r="Y270" i="1"/>
  <c r="AA153" i="1" l="1"/>
  <c r="Y140" i="1" l="1"/>
  <c r="Y207" i="1" l="1"/>
  <c r="Y171" i="1"/>
  <c r="Y68" i="1" l="1"/>
  <c r="Y46" i="1"/>
  <c r="Y64" i="1" l="1"/>
  <c r="W64" i="1"/>
  <c r="U64" i="1"/>
  <c r="Q64" i="1"/>
  <c r="O64" i="1"/>
  <c r="M64" i="1"/>
  <c r="K64" i="1"/>
  <c r="I64" i="1"/>
  <c r="Y111" i="1" l="1"/>
  <c r="Y110" i="1"/>
  <c r="Y109" i="1"/>
  <c r="Y149" i="1" l="1"/>
  <c r="Y108" i="1" l="1"/>
  <c r="U12" i="1" l="1"/>
  <c r="Q291" i="1"/>
  <c r="Q270" i="1"/>
  <c r="U218" i="1"/>
  <c r="U171" i="1"/>
  <c r="U135" i="1"/>
  <c r="Q339" i="1"/>
  <c r="Q309" i="1"/>
  <c r="I291" i="1"/>
  <c r="K291" i="1"/>
  <c r="M291" i="1"/>
  <c r="O291" i="1"/>
  <c r="Q12" i="1"/>
  <c r="Q13" i="1" s="1"/>
  <c r="AC7" i="1"/>
  <c r="AK7" i="1" s="1"/>
  <c r="AB7" i="1"/>
  <c r="AB9" i="1"/>
  <c r="AJ9" i="1" s="1"/>
  <c r="AB10" i="1"/>
  <c r="AF10" i="1" s="1"/>
  <c r="AB11" i="1"/>
  <c r="AF11" i="1" s="1"/>
  <c r="AB16" i="1"/>
  <c r="AF16" i="1" s="1"/>
  <c r="AB17" i="1"/>
  <c r="AJ17" i="1" s="1"/>
  <c r="AB18" i="1"/>
  <c r="AJ18" i="1" s="1"/>
  <c r="AB20" i="1"/>
  <c r="AF20" i="1" s="1"/>
  <c r="AB23" i="1"/>
  <c r="AJ23" i="1" s="1"/>
  <c r="AB24" i="1"/>
  <c r="AJ24" i="1" s="1"/>
  <c r="AB25" i="1"/>
  <c r="AJ25" i="1" s="1"/>
  <c r="AB28" i="1"/>
  <c r="AJ28" i="1" s="1"/>
  <c r="AB29" i="1"/>
  <c r="AJ29" i="1" s="1"/>
  <c r="AB30" i="1"/>
  <c r="AJ30" i="1" s="1"/>
  <c r="AB35" i="1"/>
  <c r="AB36" i="1"/>
  <c r="AJ36" i="1" s="1"/>
  <c r="AB37" i="1"/>
  <c r="AJ37" i="1" s="1"/>
  <c r="AB40" i="1"/>
  <c r="AJ40" i="1" s="1"/>
  <c r="AB41" i="1"/>
  <c r="AJ41" i="1" s="1"/>
  <c r="AB42" i="1"/>
  <c r="AJ42" i="1" s="1"/>
  <c r="AB43" i="1"/>
  <c r="AJ43" i="1" s="1"/>
  <c r="AB44" i="1"/>
  <c r="AJ44" i="1" s="1"/>
  <c r="AB45" i="1"/>
  <c r="AJ45" i="1" s="1"/>
  <c r="AB49" i="1"/>
  <c r="AF49" i="1" s="1"/>
  <c r="AB50" i="1"/>
  <c r="AJ50" i="1" s="1"/>
  <c r="AB51" i="1"/>
  <c r="AF51" i="1" s="1"/>
  <c r="AB52" i="1"/>
  <c r="AJ52" i="1" s="1"/>
  <c r="AB53" i="1"/>
  <c r="AF53" i="1" s="1"/>
  <c r="AB54" i="1"/>
  <c r="AF54" i="1" s="1"/>
  <c r="AB55" i="1"/>
  <c r="AF55" i="1" s="1"/>
  <c r="AB56" i="1"/>
  <c r="AF56" i="1" s="1"/>
  <c r="AB57" i="1"/>
  <c r="AJ57" i="1" s="1"/>
  <c r="AB59" i="1"/>
  <c r="AF59" i="1" s="1"/>
  <c r="AB62" i="1"/>
  <c r="AB63" i="1"/>
  <c r="AJ63" i="1" s="1"/>
  <c r="AB92" i="1"/>
  <c r="AB66" i="1"/>
  <c r="AJ66" i="1" s="1"/>
  <c r="AB67" i="1"/>
  <c r="AJ67" i="1" s="1"/>
  <c r="AB70" i="1"/>
  <c r="AF70" i="1" s="1"/>
  <c r="AB71" i="1"/>
  <c r="AJ71" i="1" s="1"/>
  <c r="AB72" i="1"/>
  <c r="AJ72" i="1" s="1"/>
  <c r="AB75" i="1"/>
  <c r="AF75" i="1" s="1"/>
  <c r="AB78" i="1"/>
  <c r="AJ78" i="1" s="1"/>
  <c r="AB79" i="1"/>
  <c r="AJ79" i="1" s="1"/>
  <c r="AB80" i="1"/>
  <c r="AJ80" i="1" s="1"/>
  <c r="AB89" i="1"/>
  <c r="AJ89" i="1" s="1"/>
  <c r="AB90" i="1"/>
  <c r="AJ90" i="1" s="1"/>
  <c r="AB91" i="1"/>
  <c r="AF91" i="1" s="1"/>
  <c r="AB93" i="1"/>
  <c r="AJ93" i="1" s="1"/>
  <c r="AB94" i="1"/>
  <c r="AJ94" i="1" s="1"/>
  <c r="AB95" i="1"/>
  <c r="AF95" i="1" s="1"/>
  <c r="AB96" i="1"/>
  <c r="AF96" i="1" s="1"/>
  <c r="AB97" i="1"/>
  <c r="AJ97" i="1" s="1"/>
  <c r="AB98" i="1"/>
  <c r="AJ98" i="1" s="1"/>
  <c r="AB99" i="1"/>
  <c r="AJ99" i="1" s="1"/>
  <c r="AB100" i="1"/>
  <c r="AF100" i="1" s="1"/>
  <c r="AB101" i="1"/>
  <c r="AJ101" i="1" s="1"/>
  <c r="AB102" i="1"/>
  <c r="AJ102" i="1" s="1"/>
  <c r="AB103" i="1"/>
  <c r="AJ103" i="1" s="1"/>
  <c r="AB104" i="1"/>
  <c r="AJ104" i="1" s="1"/>
  <c r="AB105" i="1"/>
  <c r="AJ105" i="1" s="1"/>
  <c r="AB107" i="1"/>
  <c r="AJ107" i="1" s="1"/>
  <c r="AB108" i="1"/>
  <c r="AF108" i="1" s="1"/>
  <c r="AB112" i="1"/>
  <c r="AJ112" i="1" s="1"/>
  <c r="AB115" i="1"/>
  <c r="AB116" i="1"/>
  <c r="AF116" i="1" s="1"/>
  <c r="AB117" i="1"/>
  <c r="AF117" i="1" s="1"/>
  <c r="AB118" i="1"/>
  <c r="AJ118" i="1" s="1"/>
  <c r="AB119" i="1"/>
  <c r="AJ119" i="1" s="1"/>
  <c r="AB120" i="1"/>
  <c r="AF120" i="1" s="1"/>
  <c r="AB121" i="1"/>
  <c r="AJ121" i="1" s="1"/>
  <c r="AB122" i="1"/>
  <c r="AJ122" i="1" s="1"/>
  <c r="AB123" i="1"/>
  <c r="AF123" i="1" s="1"/>
  <c r="AB124" i="1"/>
  <c r="AJ124" i="1" s="1"/>
  <c r="AB130" i="1"/>
  <c r="AF130" i="1" s="1"/>
  <c r="AB131" i="1"/>
  <c r="AJ131" i="1" s="1"/>
  <c r="AB132" i="1"/>
  <c r="AJ132" i="1" s="1"/>
  <c r="AB133" i="1"/>
  <c r="AJ133" i="1" s="1"/>
  <c r="AB134" i="1"/>
  <c r="AJ134" i="1" s="1"/>
  <c r="AB137" i="1"/>
  <c r="AF137" i="1" s="1"/>
  <c r="AB138" i="1"/>
  <c r="AF138" i="1" s="1"/>
  <c r="AB139" i="1"/>
  <c r="AF139" i="1" s="1"/>
  <c r="AB143" i="1"/>
  <c r="AJ143" i="1" s="1"/>
  <c r="AB144" i="1"/>
  <c r="AJ144" i="1" s="1"/>
  <c r="AB145" i="1"/>
  <c r="AF145" i="1" s="1"/>
  <c r="AB148" i="1"/>
  <c r="AB149" i="1" s="1"/>
  <c r="AB151" i="1"/>
  <c r="AF151" i="1" s="1"/>
  <c r="AB152" i="1"/>
  <c r="AJ152" i="1" s="1"/>
  <c r="AB153" i="1"/>
  <c r="AJ153" i="1" s="1"/>
  <c r="AB154" i="1"/>
  <c r="AF154" i="1" s="1"/>
  <c r="AB155" i="1"/>
  <c r="AJ155" i="1" s="1"/>
  <c r="AB156" i="1"/>
  <c r="AJ156" i="1" s="1"/>
  <c r="AB157" i="1"/>
  <c r="AJ157" i="1" s="1"/>
  <c r="AB158" i="1"/>
  <c r="AJ158" i="1" s="1"/>
  <c r="AB164" i="1"/>
  <c r="AJ164" i="1" s="1"/>
  <c r="AB165" i="1"/>
  <c r="AF165" i="1" s="1"/>
  <c r="AB166" i="1"/>
  <c r="AJ166" i="1" s="1"/>
  <c r="AB167" i="1"/>
  <c r="AJ167" i="1" s="1"/>
  <c r="AB168" i="1"/>
  <c r="AJ168" i="1" s="1"/>
  <c r="AB169" i="1"/>
  <c r="AF169" i="1" s="1"/>
  <c r="AB170" i="1"/>
  <c r="AF170" i="1" s="1"/>
  <c r="AB172" i="1"/>
  <c r="AJ172" i="1" s="1"/>
  <c r="AB173" i="1"/>
  <c r="AJ173" i="1" s="1"/>
  <c r="AB174" i="1"/>
  <c r="AJ174" i="1" s="1"/>
  <c r="AB175" i="1"/>
  <c r="AF175" i="1" s="1"/>
  <c r="AB176" i="1"/>
  <c r="AJ176" i="1" s="1"/>
  <c r="AB177" i="1"/>
  <c r="AF177" i="1" s="1"/>
  <c r="AB180" i="1"/>
  <c r="AJ180" i="1" s="1"/>
  <c r="AB181" i="1"/>
  <c r="AF181" i="1" s="1"/>
  <c r="AB182" i="1"/>
  <c r="AJ182" i="1" s="1"/>
  <c r="AB183" i="1"/>
  <c r="AF183" i="1" s="1"/>
  <c r="AB187" i="1"/>
  <c r="AJ187" i="1" s="1"/>
  <c r="AB188" i="1"/>
  <c r="AF188" i="1" s="1"/>
  <c r="AB189" i="1"/>
  <c r="AJ189" i="1" s="1"/>
  <c r="AB192" i="1"/>
  <c r="AJ192" i="1" s="1"/>
  <c r="AB194" i="1"/>
  <c r="AJ194" i="1" s="1"/>
  <c r="AB197" i="1"/>
  <c r="AJ197" i="1" s="1"/>
  <c r="AB198" i="1"/>
  <c r="AF198" i="1" s="1"/>
  <c r="AB199" i="1"/>
  <c r="AF199" i="1" s="1"/>
  <c r="AB201" i="1"/>
  <c r="AF201" i="1" s="1"/>
  <c r="AB202" i="1"/>
  <c r="AJ202" i="1" s="1"/>
  <c r="AB203" i="1"/>
  <c r="AJ203" i="1" s="1"/>
  <c r="AB205" i="1"/>
  <c r="AF205" i="1" s="1"/>
  <c r="AB206" i="1"/>
  <c r="AJ206" i="1" s="1"/>
  <c r="AB212" i="1"/>
  <c r="AJ212" i="1" s="1"/>
  <c r="AB213" i="1"/>
  <c r="AB214" i="1"/>
  <c r="AJ214" i="1" s="1"/>
  <c r="AB215" i="1"/>
  <c r="AJ215" i="1" s="1"/>
  <c r="AB217" i="1"/>
  <c r="AJ217" i="1" s="1"/>
  <c r="AB221" i="1"/>
  <c r="AF221" i="1" s="1"/>
  <c r="AB224" i="1"/>
  <c r="AB225" i="1"/>
  <c r="AJ225" i="1" s="1"/>
  <c r="AB228" i="1"/>
  <c r="AJ228" i="1" s="1"/>
  <c r="AB231" i="1"/>
  <c r="AJ231" i="1" s="1"/>
  <c r="AB237" i="1"/>
  <c r="AJ237" i="1" s="1"/>
  <c r="AB238" i="1"/>
  <c r="AF238" i="1" s="1"/>
  <c r="AB239" i="1"/>
  <c r="AJ239" i="1" s="1"/>
  <c r="AB240" i="1"/>
  <c r="AJ240" i="1" s="1"/>
  <c r="AB242" i="1"/>
  <c r="AJ242" i="1" s="1"/>
  <c r="AB245" i="1"/>
  <c r="AB246" i="1"/>
  <c r="AJ246" i="1" s="1"/>
  <c r="AB247" i="1"/>
  <c r="AJ247" i="1" s="1"/>
  <c r="AB248" i="1"/>
  <c r="AF248" i="1" s="1"/>
  <c r="AB251" i="1"/>
  <c r="AJ251" i="1" s="1"/>
  <c r="AB252" i="1"/>
  <c r="AJ252" i="1" s="1"/>
  <c r="AB253" i="1"/>
  <c r="AF253" i="1" s="1"/>
  <c r="AB254" i="1"/>
  <c r="AF254" i="1" s="1"/>
  <c r="AB257" i="1"/>
  <c r="AJ257" i="1" s="1"/>
  <c r="AB258" i="1"/>
  <c r="AF258" i="1" s="1"/>
  <c r="AB259" i="1"/>
  <c r="AJ259" i="1" s="1"/>
  <c r="AB262" i="1"/>
  <c r="AB264" i="1"/>
  <c r="AJ264" i="1" s="1"/>
  <c r="AB265" i="1"/>
  <c r="AJ265" i="1" s="1"/>
  <c r="AB266" i="1"/>
  <c r="AF266" i="1" s="1"/>
  <c r="AB267" i="1"/>
  <c r="AJ267" i="1" s="1"/>
  <c r="AB268" i="1"/>
  <c r="AJ268" i="1" s="1"/>
  <c r="AB269" i="1"/>
  <c r="AF269" i="1" s="1"/>
  <c r="AB275" i="1"/>
  <c r="AJ275" i="1" s="1"/>
  <c r="AB276" i="1"/>
  <c r="AJ276" i="1" s="1"/>
  <c r="AB277" i="1"/>
  <c r="AJ277" i="1" s="1"/>
  <c r="AB279" i="1"/>
  <c r="AJ279" i="1" s="1"/>
  <c r="AB282" i="1"/>
  <c r="AJ282" i="1" s="1"/>
  <c r="AB285" i="1"/>
  <c r="AB287" i="1"/>
  <c r="AJ287" i="1" s="1"/>
  <c r="AB288" i="1"/>
  <c r="AJ288" i="1" s="1"/>
  <c r="AB290" i="1"/>
  <c r="AJ290" i="1" s="1"/>
  <c r="AB297" i="1"/>
  <c r="AB298" i="1"/>
  <c r="AF298" i="1" s="1"/>
  <c r="AB299" i="1"/>
  <c r="AF299" i="1" s="1"/>
  <c r="AB300" i="1"/>
  <c r="AJ300" i="1" s="1"/>
  <c r="AB303" i="1"/>
  <c r="AB304" i="1"/>
  <c r="AF304" i="1" s="1"/>
  <c r="AB305" i="1"/>
  <c r="AB307" i="1"/>
  <c r="AJ307" i="1" s="1"/>
  <c r="AB308" i="1"/>
  <c r="AJ308" i="1" s="1"/>
  <c r="AB314" i="1"/>
  <c r="AJ314" i="1" s="1"/>
  <c r="AB315" i="1"/>
  <c r="AF315" i="1" s="1"/>
  <c r="AB316" i="1"/>
  <c r="AJ316" i="1" s="1"/>
  <c r="AB317" i="1"/>
  <c r="AF317" i="1" s="1"/>
  <c r="AB318" i="1"/>
  <c r="AJ318" i="1" s="1"/>
  <c r="AB321" i="1"/>
  <c r="AJ321" i="1" s="1"/>
  <c r="AB322" i="1"/>
  <c r="AJ322" i="1" s="1"/>
  <c r="AB323" i="1"/>
  <c r="AJ323" i="1" s="1"/>
  <c r="AB324" i="1"/>
  <c r="AJ324" i="1" s="1"/>
  <c r="AB327" i="1"/>
  <c r="AF327" i="1" s="1"/>
  <c r="AB328" i="1"/>
  <c r="AF328" i="1" s="1"/>
  <c r="AB331" i="1"/>
  <c r="AF331" i="1" s="1"/>
  <c r="AB333" i="1"/>
  <c r="AF333" i="1" s="1"/>
  <c r="AB335" i="1"/>
  <c r="AF335" i="1" s="1"/>
  <c r="AB336" i="1"/>
  <c r="AJ336" i="1" s="1"/>
  <c r="AB337" i="1"/>
  <c r="AJ337" i="1" s="1"/>
  <c r="AB338" i="1"/>
  <c r="AJ338" i="1" s="1"/>
  <c r="AC338" i="1"/>
  <c r="AK338" i="1" s="1"/>
  <c r="AA338" i="1"/>
  <c r="AE338" i="1" s="1"/>
  <c r="AC337" i="1"/>
  <c r="AG337" i="1" s="1"/>
  <c r="AA337" i="1"/>
  <c r="AI337" i="1" s="1"/>
  <c r="AC336" i="1"/>
  <c r="AG336" i="1" s="1"/>
  <c r="AA336" i="1"/>
  <c r="AI336" i="1" s="1"/>
  <c r="AC335" i="1"/>
  <c r="AK335" i="1" s="1"/>
  <c r="AA335" i="1"/>
  <c r="AI335" i="1" s="1"/>
  <c r="AC333" i="1"/>
  <c r="AG333" i="1" s="1"/>
  <c r="AA333" i="1"/>
  <c r="AI333" i="1" s="1"/>
  <c r="AC331" i="1"/>
  <c r="AG331" i="1" s="1"/>
  <c r="AA331" i="1"/>
  <c r="AE331" i="1" s="1"/>
  <c r="AC328" i="1"/>
  <c r="AK328" i="1" s="1"/>
  <c r="AE328" i="1"/>
  <c r="AC327" i="1"/>
  <c r="AG327" i="1" s="1"/>
  <c r="AA327" i="1"/>
  <c r="AI327" i="1" s="1"/>
  <c r="AC324" i="1"/>
  <c r="AG324" i="1" s="1"/>
  <c r="AA324" i="1"/>
  <c r="AE324" i="1" s="1"/>
  <c r="AC323" i="1"/>
  <c r="AK323" i="1" s="1"/>
  <c r="AA323" i="1"/>
  <c r="AI323" i="1" s="1"/>
  <c r="AC322" i="1"/>
  <c r="AK322" i="1" s="1"/>
  <c r="AA322" i="1"/>
  <c r="AI322" i="1" s="1"/>
  <c r="AC321" i="1"/>
  <c r="AG321" i="1" s="1"/>
  <c r="AA321" i="1"/>
  <c r="AI321" i="1" s="1"/>
  <c r="AC318" i="1"/>
  <c r="AK318" i="1" s="1"/>
  <c r="AA318" i="1"/>
  <c r="AE318" i="1" s="1"/>
  <c r="AC317" i="1"/>
  <c r="AG317" i="1" s="1"/>
  <c r="AA317" i="1"/>
  <c r="AI317" i="1" s="1"/>
  <c r="AC316" i="1"/>
  <c r="AK316" i="1" s="1"/>
  <c r="AA316" i="1"/>
  <c r="AI316" i="1" s="1"/>
  <c r="AC315" i="1"/>
  <c r="AG315" i="1" s="1"/>
  <c r="AA315" i="1"/>
  <c r="AE315" i="1" s="1"/>
  <c r="AC314" i="1"/>
  <c r="AG314" i="1" s="1"/>
  <c r="AA314" i="1"/>
  <c r="AE314" i="1" s="1"/>
  <c r="AC308" i="1"/>
  <c r="AK308" i="1" s="1"/>
  <c r="AA308" i="1"/>
  <c r="AE308" i="1" s="1"/>
  <c r="AC307" i="1"/>
  <c r="AK307" i="1" s="1"/>
  <c r="AA307" i="1"/>
  <c r="AI307" i="1" s="1"/>
  <c r="AC305" i="1"/>
  <c r="AK305" i="1" s="1"/>
  <c r="AA305" i="1"/>
  <c r="AI305" i="1" s="1"/>
  <c r="AC304" i="1"/>
  <c r="AK304" i="1" s="1"/>
  <c r="AA304" i="1"/>
  <c r="AE304" i="1" s="1"/>
  <c r="AC300" i="1"/>
  <c r="AK300" i="1" s="1"/>
  <c r="AI300" i="1"/>
  <c r="AC299" i="1"/>
  <c r="AG299" i="1" s="1"/>
  <c r="AA299" i="1"/>
  <c r="AE299" i="1" s="1"/>
  <c r="AC298" i="1"/>
  <c r="AK298" i="1" s="1"/>
  <c r="AA298" i="1"/>
  <c r="AI298" i="1" s="1"/>
  <c r="AC297" i="1"/>
  <c r="AA297" i="1"/>
  <c r="AC290" i="1"/>
  <c r="AK290" i="1" s="1"/>
  <c r="AA290" i="1"/>
  <c r="AE290" i="1" s="1"/>
  <c r="AC288" i="1"/>
  <c r="AG288" i="1" s="1"/>
  <c r="AA288" i="1"/>
  <c r="AI288" i="1" s="1"/>
  <c r="AC287" i="1"/>
  <c r="AK287" i="1" s="1"/>
  <c r="AA287" i="1"/>
  <c r="AI287" i="1" s="1"/>
  <c r="AC285" i="1"/>
  <c r="AG285" i="1" s="1"/>
  <c r="AA285" i="1"/>
  <c r="AI285" i="1" s="1"/>
  <c r="AC282" i="1"/>
  <c r="AK282" i="1" s="1"/>
  <c r="AA282" i="1"/>
  <c r="AE282" i="1" s="1"/>
  <c r="AC279" i="1"/>
  <c r="AK279" i="1" s="1"/>
  <c r="AA279" i="1"/>
  <c r="AE279" i="1" s="1"/>
  <c r="AC277" i="1"/>
  <c r="AG277" i="1" s="1"/>
  <c r="AA277" i="1"/>
  <c r="AI277" i="1" s="1"/>
  <c r="AC276" i="1"/>
  <c r="AK276" i="1" s="1"/>
  <c r="AA276" i="1"/>
  <c r="AI276" i="1" s="1"/>
  <c r="AC275" i="1"/>
  <c r="AG275" i="1" s="1"/>
  <c r="AA275" i="1"/>
  <c r="AI275" i="1" s="1"/>
  <c r="AC269" i="1"/>
  <c r="AK269" i="1" s="1"/>
  <c r="AA269" i="1"/>
  <c r="AE269" i="1" s="1"/>
  <c r="AC268" i="1"/>
  <c r="AG268" i="1" s="1"/>
  <c r="AA268" i="1"/>
  <c r="AI268" i="1" s="1"/>
  <c r="AC267" i="1"/>
  <c r="AK267" i="1" s="1"/>
  <c r="AA267" i="1"/>
  <c r="AI267" i="1" s="1"/>
  <c r="AC266" i="1"/>
  <c r="AG266" i="1" s="1"/>
  <c r="AA266" i="1"/>
  <c r="AI266" i="1" s="1"/>
  <c r="AC265" i="1"/>
  <c r="AK265" i="1" s="1"/>
  <c r="AA265" i="1"/>
  <c r="AE265" i="1" s="1"/>
  <c r="AC264" i="1"/>
  <c r="AG264" i="1" s="1"/>
  <c r="AA264" i="1"/>
  <c r="AI264" i="1" s="1"/>
  <c r="AC262" i="1"/>
  <c r="AK262" i="1" s="1"/>
  <c r="AA262" i="1"/>
  <c r="AI262" i="1" s="1"/>
  <c r="AC259" i="1"/>
  <c r="AK259" i="1" s="1"/>
  <c r="AA259" i="1"/>
  <c r="AE259" i="1" s="1"/>
  <c r="AC258" i="1"/>
  <c r="AG258" i="1" s="1"/>
  <c r="AA258" i="1"/>
  <c r="AI258" i="1" s="1"/>
  <c r="AC257" i="1"/>
  <c r="AK257" i="1" s="1"/>
  <c r="AA257" i="1"/>
  <c r="AI257" i="1" s="1"/>
  <c r="AC254" i="1"/>
  <c r="AG254" i="1" s="1"/>
  <c r="AA254" i="1"/>
  <c r="AE254" i="1" s="1"/>
  <c r="AC253" i="1"/>
  <c r="AK253" i="1" s="1"/>
  <c r="AA253" i="1"/>
  <c r="AI253" i="1" s="1"/>
  <c r="AC252" i="1"/>
  <c r="AK252" i="1" s="1"/>
  <c r="AA252" i="1"/>
  <c r="AI252" i="1" s="1"/>
  <c r="AC251" i="1"/>
  <c r="AK251" i="1" s="1"/>
  <c r="AA251" i="1"/>
  <c r="AI251" i="1" s="1"/>
  <c r="AC248" i="1"/>
  <c r="AG248" i="1" s="1"/>
  <c r="AA248" i="1"/>
  <c r="AE248" i="1" s="1"/>
  <c r="AC247" i="1"/>
  <c r="AK247" i="1" s="1"/>
  <c r="AA247" i="1"/>
  <c r="AI247" i="1" s="1"/>
  <c r="AC246" i="1"/>
  <c r="AK246" i="1" s="1"/>
  <c r="AA246" i="1"/>
  <c r="AI246" i="1" s="1"/>
  <c r="AC245" i="1"/>
  <c r="AG245" i="1" s="1"/>
  <c r="AA245" i="1"/>
  <c r="AI245" i="1" s="1"/>
  <c r="AC242" i="1"/>
  <c r="AG242" i="1" s="1"/>
  <c r="AA242" i="1"/>
  <c r="AE242" i="1" s="1"/>
  <c r="AC240" i="1"/>
  <c r="AK240" i="1" s="1"/>
  <c r="AA240" i="1"/>
  <c r="AI240" i="1" s="1"/>
  <c r="AC239" i="1"/>
  <c r="AK239" i="1" s="1"/>
  <c r="AA239" i="1"/>
  <c r="AI239" i="1" s="1"/>
  <c r="AC238" i="1"/>
  <c r="AG238" i="1" s="1"/>
  <c r="AA238" i="1"/>
  <c r="AI238" i="1" s="1"/>
  <c r="AC237" i="1"/>
  <c r="AK237" i="1" s="1"/>
  <c r="AA237" i="1"/>
  <c r="AE237" i="1" s="1"/>
  <c r="AC231" i="1"/>
  <c r="AK231" i="1" s="1"/>
  <c r="AA231" i="1"/>
  <c r="AE231" i="1" s="1"/>
  <c r="AC228" i="1"/>
  <c r="AK228" i="1" s="1"/>
  <c r="AA228" i="1"/>
  <c r="AI228" i="1" s="1"/>
  <c r="AC225" i="1"/>
  <c r="AG225" i="1" s="1"/>
  <c r="AA225" i="1"/>
  <c r="AI225" i="1" s="1"/>
  <c r="AC224" i="1"/>
  <c r="AK224" i="1" s="1"/>
  <c r="AA224" i="1"/>
  <c r="AI224" i="1" s="1"/>
  <c r="AC221" i="1"/>
  <c r="AK221" i="1" s="1"/>
  <c r="AA221" i="1"/>
  <c r="AI221" i="1" s="1"/>
  <c r="AC217" i="1"/>
  <c r="AK217" i="1" s="1"/>
  <c r="AA217" i="1"/>
  <c r="AI217" i="1" s="1"/>
  <c r="AC215" i="1"/>
  <c r="AG215" i="1" s="1"/>
  <c r="AA215" i="1"/>
  <c r="AE215" i="1" s="1"/>
  <c r="AC214" i="1"/>
  <c r="AK214" i="1" s="1"/>
  <c r="AA214" i="1"/>
  <c r="AI214" i="1" s="1"/>
  <c r="AC213" i="1"/>
  <c r="AK213" i="1" s="1"/>
  <c r="AA213" i="1"/>
  <c r="AI213" i="1" s="1"/>
  <c r="AC212" i="1"/>
  <c r="AK212" i="1" s="1"/>
  <c r="AA212" i="1"/>
  <c r="AI212" i="1" s="1"/>
  <c r="AC206" i="1"/>
  <c r="AG206" i="1" s="1"/>
  <c r="AA206" i="1"/>
  <c r="AE206" i="1" s="1"/>
  <c r="AC205" i="1"/>
  <c r="AK205" i="1" s="1"/>
  <c r="AA205" i="1"/>
  <c r="AE205" i="1" s="1"/>
  <c r="AC203" i="1"/>
  <c r="AG203" i="1" s="1"/>
  <c r="AA203" i="1"/>
  <c r="AI203" i="1" s="1"/>
  <c r="AC202" i="1"/>
  <c r="AK202" i="1" s="1"/>
  <c r="AA202" i="1"/>
  <c r="AE202" i="1" s="1"/>
  <c r="AC201" i="1"/>
  <c r="AK201" i="1" s="1"/>
  <c r="AA201" i="1"/>
  <c r="AE201" i="1" s="1"/>
  <c r="AC199" i="1"/>
  <c r="AK199" i="1" s="1"/>
  <c r="AA199" i="1"/>
  <c r="AI199" i="1" s="1"/>
  <c r="AC198" i="1"/>
  <c r="AK198" i="1" s="1"/>
  <c r="AA198" i="1"/>
  <c r="AE198" i="1" s="1"/>
  <c r="AC197" i="1"/>
  <c r="AK197" i="1" s="1"/>
  <c r="AA197" i="1"/>
  <c r="AE197" i="1" s="1"/>
  <c r="AC194" i="1"/>
  <c r="AK194" i="1" s="1"/>
  <c r="AA194" i="1"/>
  <c r="AE194" i="1" s="1"/>
  <c r="AC192" i="1"/>
  <c r="AK192" i="1" s="1"/>
  <c r="AA192" i="1"/>
  <c r="AI192" i="1" s="1"/>
  <c r="AC189" i="1"/>
  <c r="AK189" i="1" s="1"/>
  <c r="AA189" i="1"/>
  <c r="AE189" i="1" s="1"/>
  <c r="AC188" i="1"/>
  <c r="AG188" i="1" s="1"/>
  <c r="AA188" i="1"/>
  <c r="AI188" i="1" s="1"/>
  <c r="AC187" i="1"/>
  <c r="AK187" i="1" s="1"/>
  <c r="AA187" i="1"/>
  <c r="AI187" i="1" s="1"/>
  <c r="AC183" i="1"/>
  <c r="AG183" i="1" s="1"/>
  <c r="AA183" i="1"/>
  <c r="AI183" i="1" s="1"/>
  <c r="AC182" i="1"/>
  <c r="AK182" i="1" s="1"/>
  <c r="AA182" i="1"/>
  <c r="AE182" i="1" s="1"/>
  <c r="AC181" i="1"/>
  <c r="AG181" i="1" s="1"/>
  <c r="AA181" i="1"/>
  <c r="AI181" i="1" s="1"/>
  <c r="AC180" i="1"/>
  <c r="AK180" i="1" s="1"/>
  <c r="AA180" i="1"/>
  <c r="AE180" i="1" s="1"/>
  <c r="AC177" i="1"/>
  <c r="AK177" i="1" s="1"/>
  <c r="AA177" i="1"/>
  <c r="AI177" i="1" s="1"/>
  <c r="AC176" i="1"/>
  <c r="AK176" i="1" s="1"/>
  <c r="AA176" i="1"/>
  <c r="AE176" i="1" s="1"/>
  <c r="AC175" i="1"/>
  <c r="AG175" i="1" s="1"/>
  <c r="AA175" i="1"/>
  <c r="AE175" i="1" s="1"/>
  <c r="AC174" i="1"/>
  <c r="AK174" i="1" s="1"/>
  <c r="AA174" i="1"/>
  <c r="AI174" i="1" s="1"/>
  <c r="AC173" i="1"/>
  <c r="AK173" i="1" s="1"/>
  <c r="AA173" i="1"/>
  <c r="AI173" i="1" s="1"/>
  <c r="AC172" i="1"/>
  <c r="AK172" i="1" s="1"/>
  <c r="AE172" i="1"/>
  <c r="AC170" i="1"/>
  <c r="AK170" i="1" s="1"/>
  <c r="AA170" i="1"/>
  <c r="AE170" i="1" s="1"/>
  <c r="AC169" i="1"/>
  <c r="AG169" i="1" s="1"/>
  <c r="AA169" i="1"/>
  <c r="AI169" i="1" s="1"/>
  <c r="AC168" i="1"/>
  <c r="AK168" i="1" s="1"/>
  <c r="AA168" i="1"/>
  <c r="AI168" i="1" s="1"/>
  <c r="AC167" i="1"/>
  <c r="AK167" i="1" s="1"/>
  <c r="AA167" i="1"/>
  <c r="AI167" i="1" s="1"/>
  <c r="AC166" i="1"/>
  <c r="AK166" i="1" s="1"/>
  <c r="AA166" i="1"/>
  <c r="AI166" i="1" s="1"/>
  <c r="AC165" i="1"/>
  <c r="AG165" i="1" s="1"/>
  <c r="AA165" i="1"/>
  <c r="AI165" i="1" s="1"/>
  <c r="AC164" i="1"/>
  <c r="AK164" i="1" s="1"/>
  <c r="AA164" i="1"/>
  <c r="AI164" i="1" s="1"/>
  <c r="AC158" i="1"/>
  <c r="AG158" i="1" s="1"/>
  <c r="AA158" i="1"/>
  <c r="AI158" i="1" s="1"/>
  <c r="AC157" i="1"/>
  <c r="AK157" i="1" s="1"/>
  <c r="AA157" i="1"/>
  <c r="AE157" i="1" s="1"/>
  <c r="AC156" i="1"/>
  <c r="AK156" i="1" s="1"/>
  <c r="AA156" i="1"/>
  <c r="AI156" i="1" s="1"/>
  <c r="AC155" i="1"/>
  <c r="AK155" i="1" s="1"/>
  <c r="AA155" i="1"/>
  <c r="AI155" i="1" s="1"/>
  <c r="AC154" i="1"/>
  <c r="AG154" i="1" s="1"/>
  <c r="AA154" i="1"/>
  <c r="AI154" i="1" s="1"/>
  <c r="AC153" i="1"/>
  <c r="AK153" i="1" s="1"/>
  <c r="AE153" i="1"/>
  <c r="AC152" i="1"/>
  <c r="AK152" i="1" s="1"/>
  <c r="AA152" i="1"/>
  <c r="AI152" i="1" s="1"/>
  <c r="AC151" i="1"/>
  <c r="AK151" i="1" s="1"/>
  <c r="AA151" i="1"/>
  <c r="AI151" i="1" s="1"/>
  <c r="AC145" i="1"/>
  <c r="AK145" i="1" s="1"/>
  <c r="AA145" i="1"/>
  <c r="AE145" i="1" s="1"/>
  <c r="AC144" i="1"/>
  <c r="AK144" i="1" s="1"/>
  <c r="AA144" i="1"/>
  <c r="AI144" i="1" s="1"/>
  <c r="AC143" i="1"/>
  <c r="AK143" i="1" s="1"/>
  <c r="AA143" i="1"/>
  <c r="AI143" i="1" s="1"/>
  <c r="AC139" i="1"/>
  <c r="AG139" i="1" s="1"/>
  <c r="AA139" i="1"/>
  <c r="AI139" i="1" s="1"/>
  <c r="AC138" i="1"/>
  <c r="AK138" i="1" s="1"/>
  <c r="AA138" i="1"/>
  <c r="AI138" i="1" s="1"/>
  <c r="AC137" i="1"/>
  <c r="AG137" i="1" s="1"/>
  <c r="AA137" i="1"/>
  <c r="AI137" i="1" s="1"/>
  <c r="AC134" i="1"/>
  <c r="AG134" i="1" s="1"/>
  <c r="AA134" i="1"/>
  <c r="AE134" i="1" s="1"/>
  <c r="AC133" i="1"/>
  <c r="AK133" i="1" s="1"/>
  <c r="AA133" i="1"/>
  <c r="AE133" i="1" s="1"/>
  <c r="AC132" i="1"/>
  <c r="AK132" i="1" s="1"/>
  <c r="AA132" i="1"/>
  <c r="AI132" i="1" s="1"/>
  <c r="AC131" i="1"/>
  <c r="AG131" i="1" s="1"/>
  <c r="AA131" i="1"/>
  <c r="AI131" i="1" s="1"/>
  <c r="AC130" i="1"/>
  <c r="AK130" i="1" s="1"/>
  <c r="AA130" i="1"/>
  <c r="AE130" i="1" s="1"/>
  <c r="AC124" i="1"/>
  <c r="AK124" i="1" s="1"/>
  <c r="AA124" i="1"/>
  <c r="AE124" i="1" s="1"/>
  <c r="AC123" i="1"/>
  <c r="AK123" i="1" s="1"/>
  <c r="AA123" i="1"/>
  <c r="AI123" i="1" s="1"/>
  <c r="AC122" i="1"/>
  <c r="AK122" i="1" s="1"/>
  <c r="AA122" i="1"/>
  <c r="AI122" i="1" s="1"/>
  <c r="AC121" i="1"/>
  <c r="AG121" i="1" s="1"/>
  <c r="AA121" i="1"/>
  <c r="AE121" i="1" s="1"/>
  <c r="AC120" i="1"/>
  <c r="AG120" i="1" s="1"/>
  <c r="AA120" i="1"/>
  <c r="AE120" i="1" s="1"/>
  <c r="AC119" i="1"/>
  <c r="AK119" i="1" s="1"/>
  <c r="AA119" i="1"/>
  <c r="AI119" i="1" s="1"/>
  <c r="AC118" i="1"/>
  <c r="AK118" i="1" s="1"/>
  <c r="AA118" i="1"/>
  <c r="AI118" i="1" s="1"/>
  <c r="AC117" i="1"/>
  <c r="AG117" i="1" s="1"/>
  <c r="AA117" i="1"/>
  <c r="AI117" i="1" s="1"/>
  <c r="AC116" i="1"/>
  <c r="AK116" i="1" s="1"/>
  <c r="AA116" i="1"/>
  <c r="AE116" i="1" s="1"/>
  <c r="AC115" i="1"/>
  <c r="AK115" i="1" s="1"/>
  <c r="AA115" i="1"/>
  <c r="AI115" i="1" s="1"/>
  <c r="AC112" i="1"/>
  <c r="AG112" i="1" s="1"/>
  <c r="AE112" i="1"/>
  <c r="AC108" i="1"/>
  <c r="AG108" i="1" s="1"/>
  <c r="AE108" i="1"/>
  <c r="AC107" i="1"/>
  <c r="AK107" i="1" s="1"/>
  <c r="AA107" i="1"/>
  <c r="AI107" i="1" s="1"/>
  <c r="AC105" i="1"/>
  <c r="AG105" i="1" s="1"/>
  <c r="AA105" i="1"/>
  <c r="AI105" i="1" s="1"/>
  <c r="AC104" i="1"/>
  <c r="AG104" i="1" s="1"/>
  <c r="AA104" i="1"/>
  <c r="AE104" i="1" s="1"/>
  <c r="AC103" i="1"/>
  <c r="AK103" i="1" s="1"/>
  <c r="AA103" i="1"/>
  <c r="AI103" i="1" s="1"/>
  <c r="AC102" i="1"/>
  <c r="AK102" i="1" s="1"/>
  <c r="AA102" i="1"/>
  <c r="AI102" i="1" s="1"/>
  <c r="AC101" i="1"/>
  <c r="AG101" i="1" s="1"/>
  <c r="AA101" i="1"/>
  <c r="AI101" i="1" s="1"/>
  <c r="AC100" i="1"/>
  <c r="AK100" i="1" s="1"/>
  <c r="AA100" i="1"/>
  <c r="AE100" i="1" s="1"/>
  <c r="AC99" i="1"/>
  <c r="AK99" i="1" s="1"/>
  <c r="AA99" i="1"/>
  <c r="AI99" i="1" s="1"/>
  <c r="AC98" i="1"/>
  <c r="AK98" i="1" s="1"/>
  <c r="AA98" i="1"/>
  <c r="AI98" i="1" s="1"/>
  <c r="AC97" i="1"/>
  <c r="AG97" i="1" s="1"/>
  <c r="AA97" i="1"/>
  <c r="AE97" i="1" s="1"/>
  <c r="AC96" i="1"/>
  <c r="AK96" i="1" s="1"/>
  <c r="AA96" i="1"/>
  <c r="AE96" i="1" s="1"/>
  <c r="AC95" i="1"/>
  <c r="AK95" i="1" s="1"/>
  <c r="AA95" i="1"/>
  <c r="AI95" i="1" s="1"/>
  <c r="AC94" i="1"/>
  <c r="AK94" i="1" s="1"/>
  <c r="AA94" i="1"/>
  <c r="AI94" i="1" s="1"/>
  <c r="AC93" i="1"/>
  <c r="AG93" i="1" s="1"/>
  <c r="AA93" i="1"/>
  <c r="AI93" i="1" s="1"/>
  <c r="AC91" i="1"/>
  <c r="AG91" i="1" s="1"/>
  <c r="AA91" i="1"/>
  <c r="AE91" i="1" s="1"/>
  <c r="AC90" i="1"/>
  <c r="AK90" i="1" s="1"/>
  <c r="AA90" i="1"/>
  <c r="AI90" i="1" s="1"/>
  <c r="AC89" i="1"/>
  <c r="AK89" i="1" s="1"/>
  <c r="AA89" i="1"/>
  <c r="AI89" i="1" s="1"/>
  <c r="AC80" i="1"/>
  <c r="AK80" i="1" s="1"/>
  <c r="AA80" i="1"/>
  <c r="AE80" i="1" s="1"/>
  <c r="AC79" i="1"/>
  <c r="AK79" i="1" s="1"/>
  <c r="AA79" i="1"/>
  <c r="AI79" i="1" s="1"/>
  <c r="AC78" i="1"/>
  <c r="AK78" i="1" s="1"/>
  <c r="AA78" i="1"/>
  <c r="AI78" i="1" s="1"/>
  <c r="AC75" i="1"/>
  <c r="AG75" i="1" s="1"/>
  <c r="AA75" i="1"/>
  <c r="AE75" i="1" s="1"/>
  <c r="AC72" i="1"/>
  <c r="AK72" i="1" s="1"/>
  <c r="AA72" i="1"/>
  <c r="AE72" i="1" s="1"/>
  <c r="AC71" i="1"/>
  <c r="AG71" i="1" s="1"/>
  <c r="AA71" i="1"/>
  <c r="AI71" i="1" s="1"/>
  <c r="AC70" i="1"/>
  <c r="AG70" i="1" s="1"/>
  <c r="AA70" i="1"/>
  <c r="AI70" i="1" s="1"/>
  <c r="AC67" i="1"/>
  <c r="AG67" i="1" s="1"/>
  <c r="AA67" i="1"/>
  <c r="AE67" i="1" s="1"/>
  <c r="AC66" i="1"/>
  <c r="AK66" i="1" s="1"/>
  <c r="AA66" i="1"/>
  <c r="AE66" i="1" s="1"/>
  <c r="AC92" i="1"/>
  <c r="AA92" i="1"/>
  <c r="AC63" i="1"/>
  <c r="AA63" i="1"/>
  <c r="AC62" i="1"/>
  <c r="AK62" i="1" s="1"/>
  <c r="AA62" i="1"/>
  <c r="AI62" i="1" s="1"/>
  <c r="AC59" i="1"/>
  <c r="AK59" i="1" s="1"/>
  <c r="AA59" i="1"/>
  <c r="AE59" i="1" s="1"/>
  <c r="AC57" i="1"/>
  <c r="AG57" i="1" s="1"/>
  <c r="AA57" i="1"/>
  <c r="AE57" i="1" s="1"/>
  <c r="AC56" i="1"/>
  <c r="AG56" i="1" s="1"/>
  <c r="AA56" i="1"/>
  <c r="AI56" i="1" s="1"/>
  <c r="AC55" i="1"/>
  <c r="AK55" i="1" s="1"/>
  <c r="AA55" i="1"/>
  <c r="AE55" i="1" s="1"/>
  <c r="AC54" i="1"/>
  <c r="AK54" i="1" s="1"/>
  <c r="AA54" i="1"/>
  <c r="AI54" i="1" s="1"/>
  <c r="AC53" i="1"/>
  <c r="AG53" i="1" s="1"/>
  <c r="AA53" i="1"/>
  <c r="AE53" i="1" s="1"/>
  <c r="AC52" i="1"/>
  <c r="AG52" i="1" s="1"/>
  <c r="AA52" i="1"/>
  <c r="AE52" i="1" s="1"/>
  <c r="AC51" i="1"/>
  <c r="AK51" i="1" s="1"/>
  <c r="AA51" i="1"/>
  <c r="AE51" i="1" s="1"/>
  <c r="AC50" i="1"/>
  <c r="AK50" i="1" s="1"/>
  <c r="AA50" i="1"/>
  <c r="AI50" i="1" s="1"/>
  <c r="AC49" i="1"/>
  <c r="AG49" i="1" s="1"/>
  <c r="AA49" i="1"/>
  <c r="AE49" i="1" s="1"/>
  <c r="AC45" i="1"/>
  <c r="AG45" i="1" s="1"/>
  <c r="AA45" i="1"/>
  <c r="AE45" i="1" s="1"/>
  <c r="AC44" i="1"/>
  <c r="AK44" i="1" s="1"/>
  <c r="AA44" i="1"/>
  <c r="AI44" i="1" s="1"/>
  <c r="AC43" i="1"/>
  <c r="AK43" i="1" s="1"/>
  <c r="AA43" i="1"/>
  <c r="AI43" i="1" s="1"/>
  <c r="AC42" i="1"/>
  <c r="AG42" i="1" s="1"/>
  <c r="AA42" i="1"/>
  <c r="AI42" i="1" s="1"/>
  <c r="AC41" i="1"/>
  <c r="AK41" i="1" s="1"/>
  <c r="AA41" i="1"/>
  <c r="AE41" i="1" s="1"/>
  <c r="AC40" i="1"/>
  <c r="AK40" i="1" s="1"/>
  <c r="AA40" i="1"/>
  <c r="AE40" i="1" s="1"/>
  <c r="AC37" i="1"/>
  <c r="AG37" i="1" s="1"/>
  <c r="AA37" i="1"/>
  <c r="AE37" i="1" s="1"/>
  <c r="AC36" i="1"/>
  <c r="AK36" i="1" s="1"/>
  <c r="AA36" i="1"/>
  <c r="AE36" i="1" s="1"/>
  <c r="AC35" i="1"/>
  <c r="AK35" i="1" s="1"/>
  <c r="AA35" i="1"/>
  <c r="AI35" i="1" s="1"/>
  <c r="AC30" i="1"/>
  <c r="AG30" i="1" s="1"/>
  <c r="AA30" i="1"/>
  <c r="AE30" i="1" s="1"/>
  <c r="AF29" i="1"/>
  <c r="AC29" i="1"/>
  <c r="AK29" i="1" s="1"/>
  <c r="AA29" i="1"/>
  <c r="AE29" i="1" s="1"/>
  <c r="AC28" i="1"/>
  <c r="AK28" i="1" s="1"/>
  <c r="AA28" i="1"/>
  <c r="AI28" i="1" s="1"/>
  <c r="AC25" i="1"/>
  <c r="AG25" i="1" s="1"/>
  <c r="AA25" i="1"/>
  <c r="AE25" i="1" s="1"/>
  <c r="AC24" i="1"/>
  <c r="AK24" i="1" s="1"/>
  <c r="AA24" i="1"/>
  <c r="AE24" i="1" s="1"/>
  <c r="AC23" i="1"/>
  <c r="AK23" i="1" s="1"/>
  <c r="AA23" i="1"/>
  <c r="AI23" i="1" s="1"/>
  <c r="AC20" i="1"/>
  <c r="AK20" i="1" s="1"/>
  <c r="AA20" i="1"/>
  <c r="AI20" i="1" s="1"/>
  <c r="AC18" i="1"/>
  <c r="AK18" i="1" s="1"/>
  <c r="AA18" i="1"/>
  <c r="AE18" i="1" s="1"/>
  <c r="AC17" i="1"/>
  <c r="AK17" i="1" s="1"/>
  <c r="AA17" i="1"/>
  <c r="AI17" i="1" s="1"/>
  <c r="AC16" i="1"/>
  <c r="AK16" i="1" s="1"/>
  <c r="AA16" i="1"/>
  <c r="AI16" i="1" s="1"/>
  <c r="AC11" i="1"/>
  <c r="AK11" i="1" s="1"/>
  <c r="AA11" i="1"/>
  <c r="AE11" i="1" s="1"/>
  <c r="AC10" i="1"/>
  <c r="AK10" i="1" s="1"/>
  <c r="AA10" i="1"/>
  <c r="AE10" i="1" s="1"/>
  <c r="AC9" i="1"/>
  <c r="AK9" i="1" s="1"/>
  <c r="AA9" i="1"/>
  <c r="AI9" i="1" s="1"/>
  <c r="AA7" i="1"/>
  <c r="Y339" i="1"/>
  <c r="Y329" i="1"/>
  <c r="Y325" i="1"/>
  <c r="Y319" i="1"/>
  <c r="Y309" i="1"/>
  <c r="Y301" i="1"/>
  <c r="Y291" i="1"/>
  <c r="Y283" i="1"/>
  <c r="Y280" i="1"/>
  <c r="Y260" i="1"/>
  <c r="Y255" i="1"/>
  <c r="Y249" i="1"/>
  <c r="Y243" i="1"/>
  <c r="Y232" i="1"/>
  <c r="Y226" i="1"/>
  <c r="Y222" i="1"/>
  <c r="Y218" i="1"/>
  <c r="Y195" i="1"/>
  <c r="Y190" i="1"/>
  <c r="Y184" i="1"/>
  <c r="Y159" i="1"/>
  <c r="Y146" i="1"/>
  <c r="Y135" i="1"/>
  <c r="Y125" i="1"/>
  <c r="Y113" i="1"/>
  <c r="Y81" i="1"/>
  <c r="Y60" i="1"/>
  <c r="Y38" i="1"/>
  <c r="Y31" i="1"/>
  <c r="Y26" i="1"/>
  <c r="Y21" i="1"/>
  <c r="Y12" i="1"/>
  <c r="Y13" i="1" s="1"/>
  <c r="W331" i="1"/>
  <c r="W339" i="1" s="1"/>
  <c r="W329" i="1"/>
  <c r="W325" i="1"/>
  <c r="W319" i="1"/>
  <c r="W309" i="1"/>
  <c r="W301" i="1"/>
  <c r="W291" i="1"/>
  <c r="W283" i="1"/>
  <c r="W280" i="1"/>
  <c r="W270" i="1"/>
  <c r="W260" i="1"/>
  <c r="W255" i="1"/>
  <c r="W249" i="1"/>
  <c r="W243" i="1"/>
  <c r="W232" i="1"/>
  <c r="W226" i="1"/>
  <c r="W222" i="1"/>
  <c r="W218" i="1"/>
  <c r="W207" i="1"/>
  <c r="W195" i="1"/>
  <c r="W190" i="1"/>
  <c r="W184" i="1"/>
  <c r="W178" i="1"/>
  <c r="W171" i="1"/>
  <c r="W159" i="1"/>
  <c r="W149" i="1"/>
  <c r="W146" i="1"/>
  <c r="W140" i="1"/>
  <c r="W135" i="1"/>
  <c r="W125" i="1"/>
  <c r="W108" i="1"/>
  <c r="W113" i="1" s="1"/>
  <c r="W81" i="1"/>
  <c r="W76" i="1"/>
  <c r="W68" i="1"/>
  <c r="W60" i="1"/>
  <c r="W46" i="1"/>
  <c r="W38" i="1"/>
  <c r="W31" i="1"/>
  <c r="W26" i="1"/>
  <c r="W21" i="1"/>
  <c r="W12" i="1"/>
  <c r="W13" i="1" s="1"/>
  <c r="Q329" i="1"/>
  <c r="Q325" i="1"/>
  <c r="Q319" i="1"/>
  <c r="Q301" i="1"/>
  <c r="Q283" i="1"/>
  <c r="Q280" i="1"/>
  <c r="Q260" i="1"/>
  <c r="Q255" i="1"/>
  <c r="Q249" i="1"/>
  <c r="Q243" i="1"/>
  <c r="Q232" i="1"/>
  <c r="Q226" i="1"/>
  <c r="Q222" i="1"/>
  <c r="Q218" i="1"/>
  <c r="Q207" i="1"/>
  <c r="Q195" i="1"/>
  <c r="Q190" i="1"/>
  <c r="Q184" i="1"/>
  <c r="Q178" i="1"/>
  <c r="Q171" i="1"/>
  <c r="Q159" i="1"/>
  <c r="Q149" i="1"/>
  <c r="Q146" i="1"/>
  <c r="Q140" i="1"/>
  <c r="Q135" i="1"/>
  <c r="Q125" i="1"/>
  <c r="Q113" i="1"/>
  <c r="Q81" i="1"/>
  <c r="Q76" i="1"/>
  <c r="Q68" i="1"/>
  <c r="Q60" i="1"/>
  <c r="Q46" i="1"/>
  <c r="Q38" i="1"/>
  <c r="Q31" i="1"/>
  <c r="Q26" i="1"/>
  <c r="Q21" i="1"/>
  <c r="AB64" i="1" l="1"/>
  <c r="Y340" i="1"/>
  <c r="AE92" i="1"/>
  <c r="AI92" i="1"/>
  <c r="AF92" i="1"/>
  <c r="AJ92" i="1"/>
  <c r="AK92" i="1"/>
  <c r="AG92" i="1"/>
  <c r="AG63" i="1"/>
  <c r="AC64" i="1"/>
  <c r="AI63" i="1"/>
  <c r="AA64" i="1"/>
  <c r="AJ100" i="1"/>
  <c r="AF103" i="1"/>
  <c r="AJ199" i="1"/>
  <c r="AF79" i="1"/>
  <c r="AF251" i="1"/>
  <c r="AJ49" i="1"/>
  <c r="AF121" i="1"/>
  <c r="AF25" i="1"/>
  <c r="AJ53" i="1"/>
  <c r="AJ120" i="1"/>
  <c r="AJ165" i="1"/>
  <c r="AE7" i="1"/>
  <c r="AF124" i="1"/>
  <c r="AF237" i="1"/>
  <c r="AJ299" i="1"/>
  <c r="AF45" i="1"/>
  <c r="AF290" i="1"/>
  <c r="Y126" i="1"/>
  <c r="Y310" i="1"/>
  <c r="W32" i="1"/>
  <c r="W340" i="1"/>
  <c r="AJ333" i="1"/>
  <c r="Y160" i="1"/>
  <c r="W208" i="1"/>
  <c r="W126" i="1"/>
  <c r="Y47" i="1"/>
  <c r="AF277" i="1"/>
  <c r="AF318" i="1"/>
  <c r="AJ328" i="1"/>
  <c r="AF44" i="1"/>
  <c r="AF66" i="1"/>
  <c r="AF24" i="1"/>
  <c r="AJ20" i="1"/>
  <c r="AJ317" i="1"/>
  <c r="AJ154" i="1"/>
  <c r="AF300" i="1"/>
  <c r="AG300" i="1"/>
  <c r="AG328" i="1"/>
  <c r="AJ335" i="1"/>
  <c r="AJ327" i="1"/>
  <c r="AB329" i="1"/>
  <c r="AK321" i="1"/>
  <c r="AK314" i="1"/>
  <c r="AJ315" i="1"/>
  <c r="AF307" i="1"/>
  <c r="AB309" i="1"/>
  <c r="AJ298" i="1"/>
  <c r="AI299" i="1"/>
  <c r="AF282" i="1"/>
  <c r="AJ254" i="1"/>
  <c r="AF275" i="1"/>
  <c r="Q292" i="1"/>
  <c r="AJ253" i="1"/>
  <c r="AJ95" i="1"/>
  <c r="AK254" i="1"/>
  <c r="AF90" i="1"/>
  <c r="AJ139" i="1"/>
  <c r="AF197" i="1"/>
  <c r="AF215" i="1"/>
  <c r="AF41" i="1"/>
  <c r="AF176" i="1"/>
  <c r="AF231" i="1"/>
  <c r="AB249" i="1"/>
  <c r="AE258" i="1"/>
  <c r="AF63" i="1"/>
  <c r="AK238" i="1"/>
  <c r="AF52" i="1"/>
  <c r="AI265" i="1"/>
  <c r="AF133" i="1"/>
  <c r="AJ170" i="1"/>
  <c r="AF212" i="1"/>
  <c r="AJ116" i="1"/>
  <c r="AJ16" i="1"/>
  <c r="AJ238" i="1"/>
  <c r="AF107" i="1"/>
  <c r="AF50" i="1"/>
  <c r="AE138" i="1"/>
  <c r="AF173" i="1"/>
  <c r="AJ188" i="1"/>
  <c r="AG118" i="1"/>
  <c r="AJ138" i="1"/>
  <c r="AF119" i="1"/>
  <c r="AB226" i="1"/>
  <c r="AK203" i="1"/>
  <c r="AJ169" i="1"/>
  <c r="AF206" i="1"/>
  <c r="AJ145" i="1"/>
  <c r="AF155" i="1"/>
  <c r="AF57" i="1"/>
  <c r="AI49" i="1"/>
  <c r="AI197" i="1"/>
  <c r="AB218" i="1"/>
  <c r="AG335" i="1"/>
  <c r="AK324" i="1"/>
  <c r="AF321" i="1"/>
  <c r="AB325" i="1"/>
  <c r="AG318" i="1"/>
  <c r="AI315" i="1"/>
  <c r="AB319" i="1"/>
  <c r="AF314" i="1"/>
  <c r="AI314" i="1"/>
  <c r="AG308" i="1"/>
  <c r="AJ304" i="1"/>
  <c r="AI308" i="1"/>
  <c r="AE298" i="1"/>
  <c r="AG298" i="1"/>
  <c r="AI259" i="1"/>
  <c r="AG180" i="1"/>
  <c r="AF203" i="1"/>
  <c r="AJ213" i="1"/>
  <c r="AI254" i="1"/>
  <c r="AJ117" i="1"/>
  <c r="AF134" i="1"/>
  <c r="AE166" i="1"/>
  <c r="AI175" i="1"/>
  <c r="AE277" i="1"/>
  <c r="AB255" i="1"/>
  <c r="AG166" i="1"/>
  <c r="AI170" i="1"/>
  <c r="AJ205" i="1"/>
  <c r="AI269" i="1"/>
  <c r="AK158" i="1"/>
  <c r="AJ269" i="1"/>
  <c r="AE154" i="1"/>
  <c r="AG265" i="1"/>
  <c r="AK57" i="1"/>
  <c r="AK112" i="1"/>
  <c r="AF279" i="1"/>
  <c r="W233" i="1"/>
  <c r="W310" i="1"/>
  <c r="Y271" i="1"/>
  <c r="AG198" i="1"/>
  <c r="AG304" i="1"/>
  <c r="AJ331" i="1"/>
  <c r="AE337" i="1"/>
  <c r="AG214" i="1"/>
  <c r="W160" i="1"/>
  <c r="AF37" i="1"/>
  <c r="AJ108" i="1"/>
  <c r="AI145" i="1"/>
  <c r="AI198" i="1"/>
  <c r="AK206" i="1"/>
  <c r="AK299" i="1"/>
  <c r="AI304" i="1"/>
  <c r="AE323" i="1"/>
  <c r="AE327" i="1"/>
  <c r="AE333" i="1"/>
  <c r="AE335" i="1"/>
  <c r="AF337" i="1"/>
  <c r="Y208" i="1"/>
  <c r="AE317" i="1"/>
  <c r="AE321" i="1"/>
  <c r="AF323" i="1"/>
  <c r="AG182" i="1"/>
  <c r="W47" i="1"/>
  <c r="AI121" i="1"/>
  <c r="AK134" i="1"/>
  <c r="AK139" i="1"/>
  <c r="AF305" i="1"/>
  <c r="AF338" i="1"/>
  <c r="AI331" i="1"/>
  <c r="Y292" i="1"/>
  <c r="AE131" i="1"/>
  <c r="AI180" i="1"/>
  <c r="AJ305" i="1"/>
  <c r="AF324" i="1"/>
  <c r="AK331" i="1"/>
  <c r="AG338" i="1"/>
  <c r="AE137" i="1"/>
  <c r="AE245" i="1"/>
  <c r="AK315" i="1"/>
  <c r="AI338" i="1"/>
  <c r="AG316" i="1"/>
  <c r="W271" i="1"/>
  <c r="Y32" i="1"/>
  <c r="Y233" i="1"/>
  <c r="AI324" i="1"/>
  <c r="W292" i="1"/>
  <c r="AE307" i="1"/>
  <c r="AI318" i="1"/>
  <c r="AG322" i="1"/>
  <c r="AI328" i="1"/>
  <c r="AK336" i="1"/>
  <c r="AK266" i="1"/>
  <c r="AB270" i="1"/>
  <c r="AF40" i="1"/>
  <c r="AF172" i="1"/>
  <c r="AK175" i="1"/>
  <c r="AE192" i="1"/>
  <c r="AJ198" i="1"/>
  <c r="AJ262" i="1"/>
  <c r="AB171" i="1"/>
  <c r="AB38" i="1"/>
  <c r="AI172" i="1"/>
  <c r="AG78" i="1"/>
  <c r="AG202" i="1"/>
  <c r="AG237" i="1"/>
  <c r="AG257" i="1"/>
  <c r="AG267" i="1"/>
  <c r="AE165" i="1"/>
  <c r="AE144" i="1"/>
  <c r="AF153" i="1"/>
  <c r="AJ181" i="1"/>
  <c r="AE217" i="1"/>
  <c r="AF242" i="1"/>
  <c r="AF247" i="1"/>
  <c r="AB243" i="1"/>
  <c r="AI41" i="1"/>
  <c r="AI176" i="1"/>
  <c r="AB280" i="1"/>
  <c r="AJ201" i="1"/>
  <c r="AI153" i="1"/>
  <c r="AE199" i="1"/>
  <c r="AJ96" i="1"/>
  <c r="AI112" i="1"/>
  <c r="AI242" i="1"/>
  <c r="AG253" i="1"/>
  <c r="AE268" i="1"/>
  <c r="AG276" i="1"/>
  <c r="AI248" i="1"/>
  <c r="AG174" i="1"/>
  <c r="AJ245" i="1"/>
  <c r="AE115" i="1"/>
  <c r="AI189" i="1"/>
  <c r="AB291" i="1"/>
  <c r="AJ285" i="1"/>
  <c r="AF285" i="1"/>
  <c r="AK285" i="1"/>
  <c r="AG290" i="1"/>
  <c r="AI290" i="1"/>
  <c r="AG287" i="1"/>
  <c r="AE288" i="1"/>
  <c r="AF288" i="1"/>
  <c r="AE285" i="1"/>
  <c r="AG282" i="1"/>
  <c r="AB283" i="1"/>
  <c r="AI282" i="1"/>
  <c r="AE275" i="1"/>
  <c r="AK275" i="1"/>
  <c r="AG279" i="1"/>
  <c r="AI279" i="1"/>
  <c r="AE264" i="1"/>
  <c r="AJ266" i="1"/>
  <c r="AF268" i="1"/>
  <c r="AF264" i="1"/>
  <c r="AE266" i="1"/>
  <c r="AF265" i="1"/>
  <c r="AG269" i="1"/>
  <c r="AG262" i="1"/>
  <c r="AF259" i="1"/>
  <c r="AG259" i="1"/>
  <c r="AB260" i="1"/>
  <c r="AE253" i="1"/>
  <c r="AJ248" i="1"/>
  <c r="AK248" i="1"/>
  <c r="AG246" i="1"/>
  <c r="AE247" i="1"/>
  <c r="AF245" i="1"/>
  <c r="AK245" i="1"/>
  <c r="AI237" i="1"/>
  <c r="AG239" i="1"/>
  <c r="AK242" i="1"/>
  <c r="AE240" i="1"/>
  <c r="AF240" i="1"/>
  <c r="AE238" i="1"/>
  <c r="AG231" i="1"/>
  <c r="AI231" i="1"/>
  <c r="AG228" i="1"/>
  <c r="AF225" i="1"/>
  <c r="AK225" i="1"/>
  <c r="AE224" i="1"/>
  <c r="AJ224" i="1"/>
  <c r="AF224" i="1"/>
  <c r="AJ221" i="1"/>
  <c r="AE214" i="1"/>
  <c r="AE212" i="1"/>
  <c r="AI215" i="1"/>
  <c r="AK215" i="1"/>
  <c r="AI205" i="1"/>
  <c r="AI201" i="1"/>
  <c r="AE203" i="1"/>
  <c r="AF202" i="1"/>
  <c r="AI206" i="1"/>
  <c r="AI202" i="1"/>
  <c r="AB195" i="1"/>
  <c r="AF192" i="1"/>
  <c r="AI18" i="1"/>
  <c r="AI67" i="1"/>
  <c r="AF99" i="1"/>
  <c r="AE117" i="1"/>
  <c r="AI130" i="1"/>
  <c r="AI133" i="1"/>
  <c r="AE167" i="1"/>
  <c r="AG170" i="1"/>
  <c r="AG176" i="1"/>
  <c r="AE188" i="1"/>
  <c r="AE63" i="1"/>
  <c r="AK67" i="1"/>
  <c r="AI120" i="1"/>
  <c r="AJ130" i="1"/>
  <c r="AI157" i="1"/>
  <c r="AE183" i="1"/>
  <c r="AF194" i="1"/>
  <c r="AB178" i="1"/>
  <c r="AI40" i="1"/>
  <c r="AJ123" i="1"/>
  <c r="AK53" i="1"/>
  <c r="AK120" i="1"/>
  <c r="AF158" i="1"/>
  <c r="AE181" i="1"/>
  <c r="AG194" i="1"/>
  <c r="AB81" i="1"/>
  <c r="AG130" i="1"/>
  <c r="AI24" i="1"/>
  <c r="AE44" i="1"/>
  <c r="AE79" i="1"/>
  <c r="AG138" i="1"/>
  <c r="AI194" i="1"/>
  <c r="AE158" i="1"/>
  <c r="AI134" i="1"/>
  <c r="AG41" i="1"/>
  <c r="AG116" i="1"/>
  <c r="AG124" i="1"/>
  <c r="AF131" i="1"/>
  <c r="AE169" i="1"/>
  <c r="AG172" i="1"/>
  <c r="AJ177" i="1"/>
  <c r="AK181" i="1"/>
  <c r="AB125" i="1"/>
  <c r="AF144" i="1"/>
  <c r="AI66" i="1"/>
  <c r="AK101" i="1"/>
  <c r="AG153" i="1"/>
  <c r="AF182" i="1"/>
  <c r="AB184" i="1"/>
  <c r="AF189" i="1"/>
  <c r="AG189" i="1"/>
  <c r="AF180" i="1"/>
  <c r="AJ175" i="1"/>
  <c r="AG167" i="1"/>
  <c r="AF166" i="1"/>
  <c r="AG164" i="1"/>
  <c r="AG168" i="1"/>
  <c r="AG151" i="1"/>
  <c r="AB159" i="1"/>
  <c r="AK154" i="1"/>
  <c r="AF157" i="1"/>
  <c r="AG157" i="1"/>
  <c r="AJ151" i="1"/>
  <c r="AG155" i="1"/>
  <c r="AG145" i="1"/>
  <c r="AG143" i="1"/>
  <c r="AJ137" i="1"/>
  <c r="AB140" i="1"/>
  <c r="AG132" i="1"/>
  <c r="AK131" i="1"/>
  <c r="AB135" i="1"/>
  <c r="AK117" i="1"/>
  <c r="AI124" i="1"/>
  <c r="AI116" i="1"/>
  <c r="AG122" i="1"/>
  <c r="AE123" i="1"/>
  <c r="AE119" i="1"/>
  <c r="AF115" i="1"/>
  <c r="AJ115" i="1"/>
  <c r="AK121" i="1"/>
  <c r="AE93" i="1"/>
  <c r="AK93" i="1"/>
  <c r="AI91" i="1"/>
  <c r="AF104" i="1"/>
  <c r="AJ91" i="1"/>
  <c r="AE101" i="1"/>
  <c r="AK91" i="1"/>
  <c r="AI104" i="1"/>
  <c r="AG96" i="1"/>
  <c r="AI108" i="1"/>
  <c r="AI96" i="1"/>
  <c r="AK108" i="1"/>
  <c r="AI100" i="1"/>
  <c r="AI97" i="1"/>
  <c r="AE90" i="1"/>
  <c r="AK97" i="1"/>
  <c r="AG100" i="1"/>
  <c r="AK104" i="1"/>
  <c r="AE107" i="1"/>
  <c r="AE105" i="1"/>
  <c r="AE103" i="1"/>
  <c r="AE99" i="1"/>
  <c r="AK105" i="1"/>
  <c r="AE95" i="1"/>
  <c r="AF80" i="1"/>
  <c r="AG80" i="1"/>
  <c r="AI80" i="1"/>
  <c r="AJ75" i="1"/>
  <c r="AK75" i="1"/>
  <c r="AF72" i="1"/>
  <c r="AB31" i="1"/>
  <c r="AF30" i="1"/>
  <c r="AI37" i="1"/>
  <c r="AI45" i="1"/>
  <c r="AI72" i="1"/>
  <c r="AB26" i="1"/>
  <c r="AG20" i="1"/>
  <c r="AI25" i="1"/>
  <c r="AK25" i="1"/>
  <c r="AK30" i="1"/>
  <c r="AJ35" i="1"/>
  <c r="AK49" i="1"/>
  <c r="AE56" i="1"/>
  <c r="AI75" i="1"/>
  <c r="AB68" i="1"/>
  <c r="AJ70" i="1"/>
  <c r="AB76" i="1"/>
  <c r="AE70" i="1"/>
  <c r="AK70" i="1"/>
  <c r="AF67" i="1"/>
  <c r="AK63" i="1"/>
  <c r="AJ62" i="1"/>
  <c r="AI52" i="1"/>
  <c r="AJ54" i="1"/>
  <c r="AK56" i="1"/>
  <c r="AK52" i="1"/>
  <c r="AG55" i="1"/>
  <c r="AI57" i="1"/>
  <c r="AG59" i="1"/>
  <c r="AG51" i="1"/>
  <c r="AI53" i="1"/>
  <c r="AJ56" i="1"/>
  <c r="AE54" i="1"/>
  <c r="AE50" i="1"/>
  <c r="AK45" i="1"/>
  <c r="AB46" i="1"/>
  <c r="AK42" i="1"/>
  <c r="Q47" i="1"/>
  <c r="AK37" i="1"/>
  <c r="AF36" i="1"/>
  <c r="AI36" i="1"/>
  <c r="AI29" i="1"/>
  <c r="AI30" i="1"/>
  <c r="AG16" i="1"/>
  <c r="AB12" i="1"/>
  <c r="AB13" i="1" s="1"/>
  <c r="AI10" i="1"/>
  <c r="AJ7" i="1"/>
  <c r="AJ10" i="1"/>
  <c r="AG11" i="1"/>
  <c r="AI11" i="1"/>
  <c r="AI7" i="1"/>
  <c r="AJ11" i="1"/>
  <c r="AG7" i="1"/>
  <c r="AF7" i="1"/>
  <c r="AF336" i="1"/>
  <c r="AE336" i="1"/>
  <c r="AK333" i="1"/>
  <c r="AK337" i="1"/>
  <c r="AK327" i="1"/>
  <c r="AG323" i="1"/>
  <c r="AE322" i="1"/>
  <c r="AF322" i="1"/>
  <c r="AE316" i="1"/>
  <c r="AF316" i="1"/>
  <c r="AK317" i="1"/>
  <c r="AE305" i="1"/>
  <c r="AG305" i="1"/>
  <c r="AG307" i="1"/>
  <c r="AF308" i="1"/>
  <c r="AE297" i="1"/>
  <c r="AG297" i="1"/>
  <c r="AE300" i="1"/>
  <c r="AF297" i="1"/>
  <c r="AE287" i="1"/>
  <c r="AF287" i="1"/>
  <c r="AK288" i="1"/>
  <c r="AE276" i="1"/>
  <c r="AF276" i="1"/>
  <c r="AK277" i="1"/>
  <c r="AE262" i="1"/>
  <c r="AE267" i="1"/>
  <c r="AF262" i="1"/>
  <c r="AF267" i="1"/>
  <c r="AK264" i="1"/>
  <c r="AK268" i="1"/>
  <c r="AE257" i="1"/>
  <c r="AF257" i="1"/>
  <c r="AJ258" i="1"/>
  <c r="AK258" i="1"/>
  <c r="AE252" i="1"/>
  <c r="AF252" i="1"/>
  <c r="AG252" i="1"/>
  <c r="AE251" i="1"/>
  <c r="AG251" i="1"/>
  <c r="AG247" i="1"/>
  <c r="AE246" i="1"/>
  <c r="AF246" i="1"/>
  <c r="AG240" i="1"/>
  <c r="AE239" i="1"/>
  <c r="AF239" i="1"/>
  <c r="AE228" i="1"/>
  <c r="AF228" i="1"/>
  <c r="AG224" i="1"/>
  <c r="AE225" i="1"/>
  <c r="AE221" i="1"/>
  <c r="AG221" i="1"/>
  <c r="AF214" i="1"/>
  <c r="AE213" i="1"/>
  <c r="AF213" i="1"/>
  <c r="AG213" i="1"/>
  <c r="AF217" i="1"/>
  <c r="AG212" i="1"/>
  <c r="AG217" i="1"/>
  <c r="AG197" i="1"/>
  <c r="AG201" i="1"/>
  <c r="AG205" i="1"/>
  <c r="AG199" i="1"/>
  <c r="AG192" i="1"/>
  <c r="AE187" i="1"/>
  <c r="AF187" i="1"/>
  <c r="AG187" i="1"/>
  <c r="AK188" i="1"/>
  <c r="AK183" i="1"/>
  <c r="AI182" i="1"/>
  <c r="AJ183" i="1"/>
  <c r="AE174" i="1"/>
  <c r="AF174" i="1"/>
  <c r="AE173" i="1"/>
  <c r="AE177" i="1"/>
  <c r="AG173" i="1"/>
  <c r="AG177" i="1"/>
  <c r="AE164" i="1"/>
  <c r="AE168" i="1"/>
  <c r="AF164" i="1"/>
  <c r="AF168" i="1"/>
  <c r="AK165" i="1"/>
  <c r="AK169" i="1"/>
  <c r="AF167" i="1"/>
  <c r="AE152" i="1"/>
  <c r="AE156" i="1"/>
  <c r="AF152" i="1"/>
  <c r="AF156" i="1"/>
  <c r="AG152" i="1"/>
  <c r="AG156" i="1"/>
  <c r="AE151" i="1"/>
  <c r="AE155" i="1"/>
  <c r="AG144" i="1"/>
  <c r="AE143" i="1"/>
  <c r="AF143" i="1"/>
  <c r="AK137" i="1"/>
  <c r="AE139" i="1"/>
  <c r="AG133" i="1"/>
  <c r="AE132" i="1"/>
  <c r="AF132" i="1"/>
  <c r="AG115" i="1"/>
  <c r="AG119" i="1"/>
  <c r="AG123" i="1"/>
  <c r="AE118" i="1"/>
  <c r="AE122" i="1"/>
  <c r="AF118" i="1"/>
  <c r="AF122" i="1"/>
  <c r="AG90" i="1"/>
  <c r="AG95" i="1"/>
  <c r="AG99" i="1"/>
  <c r="AG103" i="1"/>
  <c r="AG107" i="1"/>
  <c r="AE89" i="1"/>
  <c r="AE94" i="1"/>
  <c r="AE98" i="1"/>
  <c r="AE102" i="1"/>
  <c r="AF89" i="1"/>
  <c r="AF94" i="1"/>
  <c r="AF98" i="1"/>
  <c r="AF102" i="1"/>
  <c r="AG89" i="1"/>
  <c r="AG94" i="1"/>
  <c r="AG98" i="1"/>
  <c r="AG102" i="1"/>
  <c r="AF93" i="1"/>
  <c r="AF97" i="1"/>
  <c r="AF101" i="1"/>
  <c r="AF105" i="1"/>
  <c r="AF112" i="1"/>
  <c r="AG79" i="1"/>
  <c r="AE78" i="1"/>
  <c r="AF78" i="1"/>
  <c r="AG72" i="1"/>
  <c r="AE71" i="1"/>
  <c r="AF71" i="1"/>
  <c r="AK71" i="1"/>
  <c r="AG66" i="1"/>
  <c r="AE62" i="1"/>
  <c r="AG62" i="1"/>
  <c r="AF62" i="1"/>
  <c r="AI51" i="1"/>
  <c r="AI55" i="1"/>
  <c r="AI59" i="1"/>
  <c r="AJ51" i="1"/>
  <c r="AJ55" i="1"/>
  <c r="AJ59" i="1"/>
  <c r="AG50" i="1"/>
  <c r="AG54" i="1"/>
  <c r="AG40" i="1"/>
  <c r="AG44" i="1"/>
  <c r="AE43" i="1"/>
  <c r="AF43" i="1"/>
  <c r="AG43" i="1"/>
  <c r="AE42" i="1"/>
  <c r="AF42" i="1"/>
  <c r="AE35" i="1"/>
  <c r="AF35" i="1"/>
  <c r="AG36" i="1"/>
  <c r="AG35" i="1"/>
  <c r="AE28" i="1"/>
  <c r="AF28" i="1"/>
  <c r="AG29" i="1"/>
  <c r="AG28" i="1"/>
  <c r="AG24" i="1"/>
  <c r="AE23" i="1"/>
  <c r="AF23" i="1"/>
  <c r="AG23" i="1"/>
  <c r="AF18" i="1"/>
  <c r="AG18" i="1"/>
  <c r="AE17" i="1"/>
  <c r="AF17" i="1"/>
  <c r="AG17" i="1"/>
  <c r="AE16" i="1"/>
  <c r="AE20" i="1"/>
  <c r="AG10" i="1"/>
  <c r="AE9" i="1"/>
  <c r="AF9" i="1"/>
  <c r="AG9" i="1"/>
  <c r="Q340" i="1"/>
  <c r="Q310" i="1"/>
  <c r="Q271" i="1"/>
  <c r="Q208" i="1"/>
  <c r="Q160" i="1"/>
  <c r="Q126" i="1"/>
  <c r="Q32" i="1"/>
  <c r="Q233" i="1"/>
  <c r="S76" i="3"/>
  <c r="R76" i="3"/>
  <c r="Q76" i="3"/>
  <c r="P76" i="3"/>
  <c r="O76" i="3"/>
  <c r="N76" i="3"/>
  <c r="M76" i="3"/>
  <c r="L76" i="3"/>
  <c r="K76" i="3"/>
  <c r="J76" i="3"/>
  <c r="I76" i="3"/>
  <c r="H76" i="3"/>
  <c r="J73" i="3"/>
  <c r="S63" i="3"/>
  <c r="R63" i="3"/>
  <c r="Q63" i="3"/>
  <c r="P63" i="3"/>
  <c r="O63" i="3"/>
  <c r="N63" i="3"/>
  <c r="M63" i="3"/>
  <c r="L63" i="3"/>
  <c r="K63" i="3"/>
  <c r="J63" i="3"/>
  <c r="I63" i="3"/>
  <c r="H63" i="3"/>
  <c r="S61" i="3"/>
  <c r="R61" i="3"/>
  <c r="Q61" i="3"/>
  <c r="P61" i="3"/>
  <c r="O61" i="3"/>
  <c r="N61" i="3"/>
  <c r="M61" i="3"/>
  <c r="L61" i="3"/>
  <c r="K61" i="3"/>
  <c r="J61" i="3"/>
  <c r="I61" i="3"/>
  <c r="H61" i="3"/>
  <c r="T58" i="3"/>
  <c r="U58" i="3" s="1"/>
  <c r="S57" i="3"/>
  <c r="R57" i="3"/>
  <c r="Q57" i="3"/>
  <c r="P57" i="3"/>
  <c r="O57" i="3"/>
  <c r="N57" i="3"/>
  <c r="M57" i="3"/>
  <c r="L57" i="3"/>
  <c r="K57" i="3"/>
  <c r="J57" i="3"/>
  <c r="I57" i="3"/>
  <c r="H57" i="3"/>
  <c r="S56" i="3"/>
  <c r="R56" i="3"/>
  <c r="Q56" i="3"/>
  <c r="P56" i="3"/>
  <c r="O56" i="3"/>
  <c r="N56" i="3"/>
  <c r="M56" i="3"/>
  <c r="L56" i="3"/>
  <c r="K56" i="3"/>
  <c r="J56" i="3"/>
  <c r="I56" i="3"/>
  <c r="H56" i="3"/>
  <c r="S55" i="3"/>
  <c r="R55" i="3"/>
  <c r="Q55" i="3"/>
  <c r="P55" i="3"/>
  <c r="O55" i="3"/>
  <c r="N55" i="3"/>
  <c r="M55" i="3"/>
  <c r="L55" i="3"/>
  <c r="K55" i="3"/>
  <c r="J55" i="3"/>
  <c r="I55" i="3"/>
  <c r="H55" i="3"/>
  <c r="S54" i="3"/>
  <c r="R54" i="3"/>
  <c r="Q54" i="3"/>
  <c r="P54" i="3"/>
  <c r="O54" i="3"/>
  <c r="N54" i="3"/>
  <c r="M54" i="3"/>
  <c r="L54" i="3"/>
  <c r="K54" i="3"/>
  <c r="J54" i="3"/>
  <c r="I54" i="3"/>
  <c r="H54" i="3"/>
  <c r="S50" i="3"/>
  <c r="R50" i="3"/>
  <c r="Q50" i="3"/>
  <c r="P50" i="3"/>
  <c r="O50" i="3"/>
  <c r="N50" i="3"/>
  <c r="M50" i="3"/>
  <c r="L50" i="3"/>
  <c r="K50" i="3"/>
  <c r="J50" i="3"/>
  <c r="I50" i="3"/>
  <c r="H50" i="3"/>
  <c r="S49" i="3"/>
  <c r="R49" i="3"/>
  <c r="Q49" i="3"/>
  <c r="P49" i="3"/>
  <c r="O49" i="3"/>
  <c r="N49" i="3"/>
  <c r="M49" i="3"/>
  <c r="L49" i="3"/>
  <c r="K49" i="3"/>
  <c r="J49" i="3"/>
  <c r="I49" i="3"/>
  <c r="H49" i="3"/>
  <c r="S48" i="3"/>
  <c r="R48" i="3"/>
  <c r="Q48" i="3"/>
  <c r="P48" i="3"/>
  <c r="O48" i="3"/>
  <c r="N48" i="3"/>
  <c r="M48" i="3"/>
  <c r="L48" i="3"/>
  <c r="K48" i="3"/>
  <c r="J48" i="3"/>
  <c r="I48" i="3"/>
  <c r="H48" i="3"/>
  <c r="H39" i="3"/>
  <c r="I39" i="3"/>
  <c r="J39" i="3"/>
  <c r="K39" i="3"/>
  <c r="L39" i="3"/>
  <c r="M39" i="3"/>
  <c r="N39" i="3"/>
  <c r="O39" i="3"/>
  <c r="P39" i="3"/>
  <c r="Q39" i="3"/>
  <c r="R39" i="3"/>
  <c r="S39" i="3"/>
  <c r="M40" i="3"/>
  <c r="I40" i="3"/>
  <c r="S40" i="3"/>
  <c r="R40" i="3"/>
  <c r="Q40" i="3"/>
  <c r="P40" i="3"/>
  <c r="O40" i="3"/>
  <c r="N40" i="3"/>
  <c r="H40" i="3"/>
  <c r="H41" i="3"/>
  <c r="I41" i="3"/>
  <c r="J41" i="3"/>
  <c r="K41" i="3"/>
  <c r="L41" i="3"/>
  <c r="M41" i="3"/>
  <c r="N41" i="3"/>
  <c r="O41" i="3"/>
  <c r="P41" i="3"/>
  <c r="Q41" i="3"/>
  <c r="R41" i="3"/>
  <c r="S41" i="3"/>
  <c r="H42" i="3"/>
  <c r="I42" i="3"/>
  <c r="J42" i="3"/>
  <c r="K42" i="3"/>
  <c r="L42" i="3"/>
  <c r="M42" i="3"/>
  <c r="N42" i="3"/>
  <c r="O42" i="3"/>
  <c r="P42" i="3"/>
  <c r="Q42" i="3"/>
  <c r="R42" i="3"/>
  <c r="S42" i="3"/>
  <c r="H44" i="3"/>
  <c r="I44" i="3"/>
  <c r="J44" i="3"/>
  <c r="K44" i="3"/>
  <c r="L44" i="3"/>
  <c r="M44" i="3"/>
  <c r="N44" i="3"/>
  <c r="O44" i="3"/>
  <c r="P44" i="3"/>
  <c r="Q44" i="3"/>
  <c r="R44" i="3"/>
  <c r="S44" i="3"/>
  <c r="S43" i="3"/>
  <c r="R43" i="3"/>
  <c r="Q43" i="3"/>
  <c r="P43" i="3"/>
  <c r="O43" i="3"/>
  <c r="N43" i="3"/>
  <c r="M43" i="3"/>
  <c r="L43" i="3"/>
  <c r="K43" i="3"/>
  <c r="J43" i="3"/>
  <c r="I43" i="3"/>
  <c r="H43" i="3"/>
  <c r="L40" i="3"/>
  <c r="K40" i="3"/>
  <c r="J40" i="3"/>
  <c r="L36" i="3"/>
  <c r="K36" i="3"/>
  <c r="J36" i="3"/>
  <c r="M10" i="3"/>
  <c r="L10" i="3"/>
  <c r="K10" i="3"/>
  <c r="R9" i="3"/>
  <c r="I9" i="3"/>
  <c r="O9" i="3"/>
  <c r="L9" i="3"/>
  <c r="T323" i="3"/>
  <c r="U323" i="3" s="1"/>
  <c r="T322" i="3"/>
  <c r="U322" i="3" s="1"/>
  <c r="T321" i="3"/>
  <c r="U321" i="3" s="1"/>
  <c r="T320" i="3"/>
  <c r="U320" i="3" s="1"/>
  <c r="T319" i="3"/>
  <c r="U319" i="3" s="1"/>
  <c r="T318" i="3"/>
  <c r="U318" i="3" s="1"/>
  <c r="T317" i="3"/>
  <c r="U317" i="3" s="1"/>
  <c r="T316" i="3"/>
  <c r="T313" i="3"/>
  <c r="U313" i="3" s="1"/>
  <c r="T312" i="3"/>
  <c r="U312" i="3" s="1"/>
  <c r="T309" i="3"/>
  <c r="U309" i="3" s="1"/>
  <c r="T308" i="3"/>
  <c r="U308" i="3" s="1"/>
  <c r="T307" i="3"/>
  <c r="U307" i="3" s="1"/>
  <c r="T306" i="3"/>
  <c r="U306" i="3" s="1"/>
  <c r="T303" i="3"/>
  <c r="U303" i="3" s="1"/>
  <c r="T302" i="3"/>
  <c r="U302" i="3" s="1"/>
  <c r="T301" i="3"/>
  <c r="U301" i="3" s="1"/>
  <c r="T300" i="3"/>
  <c r="U300" i="3" s="1"/>
  <c r="T299" i="3"/>
  <c r="U299" i="3" s="1"/>
  <c r="T293" i="3"/>
  <c r="U293" i="3" s="1"/>
  <c r="T292" i="3"/>
  <c r="U292" i="3" s="1"/>
  <c r="T291" i="3"/>
  <c r="U291" i="3" s="1"/>
  <c r="T290" i="3"/>
  <c r="U290" i="3" s="1"/>
  <c r="T289" i="3"/>
  <c r="U289" i="3" s="1"/>
  <c r="T286" i="3"/>
  <c r="U286" i="3" s="1"/>
  <c r="T285" i="3"/>
  <c r="U285" i="3" s="1"/>
  <c r="T284" i="3"/>
  <c r="U284" i="3" s="1"/>
  <c r="T283" i="3"/>
  <c r="U283" i="3" s="1"/>
  <c r="T282" i="3"/>
  <c r="U282" i="3" s="1"/>
  <c r="T276" i="3"/>
  <c r="U276" i="3" s="1"/>
  <c r="T275" i="3"/>
  <c r="U275" i="3" s="1"/>
  <c r="T274" i="3"/>
  <c r="U274" i="3" s="1"/>
  <c r="T273" i="3"/>
  <c r="U273" i="3" s="1"/>
  <c r="T270" i="3"/>
  <c r="U270" i="3" s="1"/>
  <c r="T267" i="3"/>
  <c r="U267" i="3" s="1"/>
  <c r="T266" i="3"/>
  <c r="U266" i="3" s="1"/>
  <c r="T265" i="3"/>
  <c r="U265" i="3" s="1"/>
  <c r="T264" i="3"/>
  <c r="U264" i="3" s="1"/>
  <c r="T258" i="3"/>
  <c r="U258" i="3" s="1"/>
  <c r="T257" i="3"/>
  <c r="U257" i="3" s="1"/>
  <c r="T256" i="3"/>
  <c r="U256" i="3" s="1"/>
  <c r="T255" i="3"/>
  <c r="U255" i="3" s="1"/>
  <c r="T254" i="3"/>
  <c r="U254" i="3" s="1"/>
  <c r="T253" i="3"/>
  <c r="U253" i="3" s="1"/>
  <c r="T252" i="3"/>
  <c r="U252" i="3" s="1"/>
  <c r="T249" i="3"/>
  <c r="U249" i="3" s="1"/>
  <c r="T248" i="3"/>
  <c r="U248" i="3" s="1"/>
  <c r="T247" i="3"/>
  <c r="U247" i="3" s="1"/>
  <c r="T244" i="3"/>
  <c r="U244" i="3" s="1"/>
  <c r="T243" i="3"/>
  <c r="U243" i="3" s="1"/>
  <c r="T242" i="3"/>
  <c r="U242" i="3" s="1"/>
  <c r="T241" i="3"/>
  <c r="U241" i="3" s="1"/>
  <c r="T238" i="3"/>
  <c r="U238" i="3" s="1"/>
  <c r="T237" i="3"/>
  <c r="U237" i="3" s="1"/>
  <c r="T236" i="3"/>
  <c r="U236" i="3" s="1"/>
  <c r="T235" i="3"/>
  <c r="U235" i="3" s="1"/>
  <c r="T232" i="3"/>
  <c r="U232" i="3" s="1"/>
  <c r="T231" i="3"/>
  <c r="U231" i="3" s="1"/>
  <c r="T230" i="3"/>
  <c r="U230" i="3" s="1"/>
  <c r="T229" i="3"/>
  <c r="U229" i="3" s="1"/>
  <c r="T228" i="3"/>
  <c r="U228" i="3" s="1"/>
  <c r="T222" i="3"/>
  <c r="U222" i="3" s="1"/>
  <c r="T221" i="3"/>
  <c r="U221" i="3" s="1"/>
  <c r="T220" i="3"/>
  <c r="U220" i="3" s="1"/>
  <c r="T217" i="3"/>
  <c r="U217" i="3" s="1"/>
  <c r="T216" i="3"/>
  <c r="U216" i="3" s="1"/>
  <c r="T213" i="3"/>
  <c r="U213" i="3" s="1"/>
  <c r="T212" i="3"/>
  <c r="U212" i="3" s="1"/>
  <c r="T209" i="3"/>
  <c r="U209" i="3" s="1"/>
  <c r="T208" i="3"/>
  <c r="U208" i="3" s="1"/>
  <c r="T207" i="3"/>
  <c r="U207" i="3" s="1"/>
  <c r="T206" i="3"/>
  <c r="U206" i="3" s="1"/>
  <c r="T205" i="3"/>
  <c r="U205" i="3" s="1"/>
  <c r="T199" i="3"/>
  <c r="U199" i="3" s="1"/>
  <c r="T198" i="3"/>
  <c r="U198" i="3" s="1"/>
  <c r="T197" i="3"/>
  <c r="U197" i="3" s="1"/>
  <c r="T196" i="3"/>
  <c r="U196" i="3" s="1"/>
  <c r="T195" i="3"/>
  <c r="U195" i="3" s="1"/>
  <c r="T194" i="3"/>
  <c r="U194" i="3" s="1"/>
  <c r="T193" i="3"/>
  <c r="U193" i="3" s="1"/>
  <c r="T192" i="3"/>
  <c r="U192" i="3" s="1"/>
  <c r="T191" i="3"/>
  <c r="U191" i="3" s="1"/>
  <c r="T190" i="3"/>
  <c r="U190" i="3" s="1"/>
  <c r="T187" i="3"/>
  <c r="U187" i="3" s="1"/>
  <c r="T186" i="3"/>
  <c r="U186" i="3" s="1"/>
  <c r="T183" i="3"/>
  <c r="U183" i="3" s="1"/>
  <c r="T182" i="3"/>
  <c r="U182" i="3" s="1"/>
  <c r="T181" i="3"/>
  <c r="U181" i="3" s="1"/>
  <c r="T180" i="3"/>
  <c r="U180" i="3" s="1"/>
  <c r="T177" i="3"/>
  <c r="U177" i="3" s="1"/>
  <c r="T176" i="3"/>
  <c r="U176" i="3" s="1"/>
  <c r="T175" i="3"/>
  <c r="U175" i="3" s="1"/>
  <c r="T174" i="3"/>
  <c r="U174" i="3" s="1"/>
  <c r="T171" i="3"/>
  <c r="U171" i="3" s="1"/>
  <c r="T170" i="3"/>
  <c r="U170" i="3" s="1"/>
  <c r="T169" i="3"/>
  <c r="U169" i="3" s="1"/>
  <c r="T168" i="3"/>
  <c r="U168" i="3" s="1"/>
  <c r="T167" i="3"/>
  <c r="U167" i="3" s="1"/>
  <c r="T164" i="3"/>
  <c r="U164" i="3" s="1"/>
  <c r="T163" i="3"/>
  <c r="U163" i="3" s="1"/>
  <c r="T162" i="3"/>
  <c r="U162" i="3" s="1"/>
  <c r="T161" i="3"/>
  <c r="U161" i="3" s="1"/>
  <c r="T160" i="3"/>
  <c r="U160" i="3" s="1"/>
  <c r="T159" i="3"/>
  <c r="U159" i="3" s="1"/>
  <c r="T158" i="3"/>
  <c r="U158" i="3" s="1"/>
  <c r="T152" i="3"/>
  <c r="U152" i="3" s="1"/>
  <c r="T151" i="3"/>
  <c r="U151" i="3" s="1"/>
  <c r="T150" i="3"/>
  <c r="U150" i="3" s="1"/>
  <c r="T149" i="3"/>
  <c r="U149" i="3" s="1"/>
  <c r="T148" i="3"/>
  <c r="U148" i="3" s="1"/>
  <c r="T147" i="3"/>
  <c r="U147" i="3" s="1"/>
  <c r="T146" i="3"/>
  <c r="U146" i="3" s="1"/>
  <c r="T145" i="3"/>
  <c r="U145" i="3" s="1"/>
  <c r="T142" i="3"/>
  <c r="U142" i="3" s="1"/>
  <c r="T139" i="3"/>
  <c r="U139" i="3" s="1"/>
  <c r="T138" i="3"/>
  <c r="U138" i="3" s="1"/>
  <c r="T137" i="3"/>
  <c r="U137" i="3" s="1"/>
  <c r="T136" i="3"/>
  <c r="U136" i="3" s="1"/>
  <c r="T133" i="3"/>
  <c r="U133" i="3" s="1"/>
  <c r="T132" i="3"/>
  <c r="U132" i="3" s="1"/>
  <c r="T131" i="3"/>
  <c r="U131" i="3" s="1"/>
  <c r="T128" i="3"/>
  <c r="U128" i="3" s="1"/>
  <c r="T127" i="3"/>
  <c r="U127" i="3" s="1"/>
  <c r="T126" i="3"/>
  <c r="U126" i="3" s="1"/>
  <c r="T125" i="3"/>
  <c r="U125" i="3" s="1"/>
  <c r="T124" i="3"/>
  <c r="U124" i="3" s="1"/>
  <c r="T118" i="3"/>
  <c r="U118" i="3" s="1"/>
  <c r="T117" i="3"/>
  <c r="U117" i="3" s="1"/>
  <c r="T116" i="3"/>
  <c r="U116" i="3" s="1"/>
  <c r="T115" i="3"/>
  <c r="U115" i="3" s="1"/>
  <c r="T114" i="3"/>
  <c r="U114" i="3" s="1"/>
  <c r="T113" i="3"/>
  <c r="U113" i="3" s="1"/>
  <c r="T112" i="3"/>
  <c r="U112" i="3" s="1"/>
  <c r="T111" i="3"/>
  <c r="U111" i="3" s="1"/>
  <c r="T110" i="3"/>
  <c r="U110" i="3" s="1"/>
  <c r="T109" i="3"/>
  <c r="U109" i="3" s="1"/>
  <c r="T106" i="3"/>
  <c r="U106" i="3" s="1"/>
  <c r="T105" i="3"/>
  <c r="T104" i="3"/>
  <c r="U104" i="3" s="1"/>
  <c r="T103" i="3"/>
  <c r="U103" i="3" s="1"/>
  <c r="T102" i="3"/>
  <c r="U102" i="3" s="1"/>
  <c r="T101" i="3"/>
  <c r="U101" i="3" s="1"/>
  <c r="T100" i="3"/>
  <c r="U100" i="3" s="1"/>
  <c r="T99" i="3"/>
  <c r="U99" i="3" s="1"/>
  <c r="T98" i="3"/>
  <c r="U98" i="3" s="1"/>
  <c r="T97" i="3"/>
  <c r="U97" i="3" s="1"/>
  <c r="T96" i="3"/>
  <c r="U96" i="3" s="1"/>
  <c r="T95" i="3"/>
  <c r="U95" i="3" s="1"/>
  <c r="T94" i="3"/>
  <c r="U94" i="3" s="1"/>
  <c r="T93" i="3"/>
  <c r="U93" i="3" s="1"/>
  <c r="T92" i="3"/>
  <c r="U92" i="3" s="1"/>
  <c r="T91" i="3"/>
  <c r="U91" i="3" s="1"/>
  <c r="T90" i="3"/>
  <c r="U90" i="3" s="1"/>
  <c r="T89" i="3"/>
  <c r="U89" i="3" s="1"/>
  <c r="T88" i="3"/>
  <c r="U88" i="3" s="1"/>
  <c r="T87" i="3"/>
  <c r="U87" i="3" s="1"/>
  <c r="T78" i="3"/>
  <c r="U78" i="3" s="1"/>
  <c r="T77" i="3"/>
  <c r="U77" i="3" s="1"/>
  <c r="T73" i="3"/>
  <c r="U73" i="3" s="1"/>
  <c r="T72" i="3"/>
  <c r="U72" i="3" s="1"/>
  <c r="T71" i="3"/>
  <c r="U71" i="3" s="1"/>
  <c r="T70" i="3"/>
  <c r="U70" i="3" s="1"/>
  <c r="T66" i="3"/>
  <c r="U66" i="3" s="1"/>
  <c r="T62" i="3"/>
  <c r="U62" i="3" s="1"/>
  <c r="T53" i="3"/>
  <c r="U53" i="3" s="1"/>
  <c r="T52" i="3"/>
  <c r="U52" i="3" s="1"/>
  <c r="T51" i="3"/>
  <c r="U51" i="3" s="1"/>
  <c r="T36" i="3"/>
  <c r="U36" i="3" s="1"/>
  <c r="T35" i="3"/>
  <c r="U35" i="3" s="1"/>
  <c r="T34" i="3"/>
  <c r="U34" i="3" s="1"/>
  <c r="T29" i="3"/>
  <c r="U29" i="3" s="1"/>
  <c r="T28" i="3"/>
  <c r="U28" i="3" s="1"/>
  <c r="T27" i="3"/>
  <c r="U27" i="3" s="1"/>
  <c r="T24" i="3"/>
  <c r="U24" i="3" s="1"/>
  <c r="T23" i="3"/>
  <c r="U23" i="3" s="1"/>
  <c r="T22" i="3"/>
  <c r="U22" i="3" s="1"/>
  <c r="T19" i="3"/>
  <c r="U19" i="3" s="1"/>
  <c r="T18" i="3"/>
  <c r="U18" i="3" s="1"/>
  <c r="T17" i="3"/>
  <c r="U17" i="3" s="1"/>
  <c r="T16" i="3"/>
  <c r="U16" i="3" s="1"/>
  <c r="T8" i="3"/>
  <c r="U8" i="3" s="1"/>
  <c r="G343" i="3"/>
  <c r="G316" i="3"/>
  <c r="G324" i="3" s="1"/>
  <c r="G314" i="3"/>
  <c r="G310" i="3"/>
  <c r="G304" i="3"/>
  <c r="G294" i="3"/>
  <c r="G287" i="3"/>
  <c r="G277" i="3"/>
  <c r="G271" i="3"/>
  <c r="G268" i="3"/>
  <c r="G259" i="3"/>
  <c r="G250" i="3"/>
  <c r="G245" i="3"/>
  <c r="G239" i="3"/>
  <c r="G233" i="3"/>
  <c r="G223" i="3"/>
  <c r="G218" i="3"/>
  <c r="G214" i="3"/>
  <c r="G210" i="3"/>
  <c r="G200" i="3"/>
  <c r="G188" i="3"/>
  <c r="G184" i="3"/>
  <c r="G178" i="3"/>
  <c r="G172" i="3"/>
  <c r="G165" i="3"/>
  <c r="G153" i="3"/>
  <c r="G143" i="3"/>
  <c r="G140" i="3"/>
  <c r="G134" i="3"/>
  <c r="G129" i="3"/>
  <c r="G119" i="3"/>
  <c r="G105" i="3"/>
  <c r="G107" i="3" s="1"/>
  <c r="G79" i="3"/>
  <c r="G74" i="3"/>
  <c r="G68" i="3"/>
  <c r="G64" i="3"/>
  <c r="G59" i="3"/>
  <c r="G45" i="3"/>
  <c r="G37" i="3"/>
  <c r="G30" i="3"/>
  <c r="G25" i="3"/>
  <c r="G20" i="3"/>
  <c r="G11" i="3"/>
  <c r="G12" i="3" s="1"/>
  <c r="G120" i="3" l="1"/>
  <c r="T10" i="3"/>
  <c r="U10" i="3" s="1"/>
  <c r="G31" i="3"/>
  <c r="G224" i="3"/>
  <c r="T49" i="3"/>
  <c r="U49" i="3" s="1"/>
  <c r="T54" i="3"/>
  <c r="U54" i="3" s="1"/>
  <c r="T56" i="3"/>
  <c r="U56" i="3" s="1"/>
  <c r="G278" i="3"/>
  <c r="G260" i="3"/>
  <c r="T44" i="3"/>
  <c r="U44" i="3" s="1"/>
  <c r="T48" i="3"/>
  <c r="U48" i="3" s="1"/>
  <c r="T50" i="3"/>
  <c r="U50" i="3" s="1"/>
  <c r="T55" i="3"/>
  <c r="U55" i="3" s="1"/>
  <c r="T57" i="3"/>
  <c r="U57" i="3" s="1"/>
  <c r="Y341" i="1"/>
  <c r="AB47" i="1"/>
  <c r="W341" i="1"/>
  <c r="AB271" i="1"/>
  <c r="AB292" i="1"/>
  <c r="Q341" i="1"/>
  <c r="T76" i="3"/>
  <c r="U76" i="3" s="1"/>
  <c r="G154" i="3"/>
  <c r="G46" i="3"/>
  <c r="G80" i="3" s="1"/>
  <c r="G81" i="3" s="1"/>
  <c r="G325" i="3"/>
  <c r="U316" i="3"/>
  <c r="U105" i="3"/>
  <c r="G295" i="3"/>
  <c r="G201" i="3"/>
  <c r="T40" i="3"/>
  <c r="U40" i="3" s="1"/>
  <c r="T39" i="3"/>
  <c r="U39" i="3" s="1"/>
  <c r="T326" i="3"/>
  <c r="T42" i="3"/>
  <c r="U42" i="3" s="1"/>
  <c r="T41" i="3"/>
  <c r="U41" i="3" s="1"/>
  <c r="T61" i="3"/>
  <c r="U61" i="3" s="1"/>
  <c r="T63" i="3"/>
  <c r="U63" i="3" s="1"/>
  <c r="T43" i="3"/>
  <c r="U43" i="3" s="1"/>
  <c r="T9" i="3"/>
  <c r="U9" i="3" s="1"/>
  <c r="T7" i="3"/>
  <c r="U7" i="3" s="1"/>
  <c r="G326" i="3" l="1"/>
  <c r="G327" i="3" s="1"/>
  <c r="G328" i="3" s="1"/>
  <c r="T81" i="3"/>
  <c r="T327" i="3" s="1"/>
  <c r="U319" i="1" l="1"/>
  <c r="O319" i="1"/>
  <c r="M319" i="1"/>
  <c r="K319" i="1"/>
  <c r="I319" i="1"/>
  <c r="U301" i="1"/>
  <c r="O301" i="1"/>
  <c r="K301" i="1"/>
  <c r="I301" i="1"/>
  <c r="AA280" i="1"/>
  <c r="U280" i="1"/>
  <c r="O280" i="1"/>
  <c r="M280" i="1"/>
  <c r="K280" i="1"/>
  <c r="I280" i="1"/>
  <c r="AA249" i="1"/>
  <c r="O249" i="1"/>
  <c r="U249" i="1"/>
  <c r="M249" i="1"/>
  <c r="K249" i="1"/>
  <c r="I249" i="1"/>
  <c r="U243" i="1"/>
  <c r="O243" i="1"/>
  <c r="M243" i="1"/>
  <c r="K243" i="1"/>
  <c r="I243" i="1"/>
  <c r="O218" i="1"/>
  <c r="M218" i="1"/>
  <c r="K218" i="1"/>
  <c r="I218" i="1"/>
  <c r="U184" i="1"/>
  <c r="O184" i="1"/>
  <c r="M184" i="1"/>
  <c r="K184" i="1"/>
  <c r="I184" i="1"/>
  <c r="U178" i="1"/>
  <c r="O178" i="1"/>
  <c r="M178" i="1"/>
  <c r="K178" i="1"/>
  <c r="I178" i="1"/>
  <c r="I140" i="1"/>
  <c r="K140" i="1"/>
  <c r="M140" i="1"/>
  <c r="O140" i="1"/>
  <c r="U140" i="1"/>
  <c r="AA140" i="1"/>
  <c r="O171" i="1"/>
  <c r="M171" i="1"/>
  <c r="K171" i="1"/>
  <c r="I171" i="1"/>
  <c r="AA291" i="1" l="1"/>
  <c r="AA283" i="1"/>
  <c r="O204" i="1"/>
  <c r="O200" i="1"/>
  <c r="AG68" i="1"/>
  <c r="AC148" i="1"/>
  <c r="AC149" i="1" s="1"/>
  <c r="AG283" i="1"/>
  <c r="AC303" i="1"/>
  <c r="AG303" i="1" s="1"/>
  <c r="AF303" i="1"/>
  <c r="AF283" i="1"/>
  <c r="AE283" i="1"/>
  <c r="AF148" i="1"/>
  <c r="AF149" i="1" s="1"/>
  <c r="AA148" i="1"/>
  <c r="AA149" i="1" s="1"/>
  <c r="AF68" i="1"/>
  <c r="M296" i="1"/>
  <c r="O229" i="1"/>
  <c r="O220" i="1"/>
  <c r="O186" i="1"/>
  <c r="O142" i="1"/>
  <c r="AB186" i="1" l="1"/>
  <c r="AC186" i="1"/>
  <c r="AC190" i="1" s="1"/>
  <c r="AA186" i="1"/>
  <c r="AA190" i="1" s="1"/>
  <c r="AC200" i="1"/>
  <c r="AA200" i="1"/>
  <c r="AB200" i="1"/>
  <c r="AC229" i="1"/>
  <c r="AC232" i="1" s="1"/>
  <c r="AA229" i="1"/>
  <c r="AA232" i="1" s="1"/>
  <c r="AB229" i="1"/>
  <c r="AB296" i="1"/>
  <c r="AC296" i="1"/>
  <c r="AC301" i="1" s="1"/>
  <c r="AA296" i="1"/>
  <c r="AB204" i="1"/>
  <c r="AC204" i="1"/>
  <c r="AA204" i="1"/>
  <c r="AC319" i="1"/>
  <c r="AA319" i="1"/>
  <c r="M301" i="1"/>
  <c r="AC280" i="1"/>
  <c r="AC249" i="1"/>
  <c r="AA243" i="1"/>
  <c r="AF243" i="1"/>
  <c r="AC243" i="1"/>
  <c r="AA218" i="1"/>
  <c r="AA178" i="1"/>
  <c r="AE184" i="1"/>
  <c r="AA184" i="1"/>
  <c r="AF178" i="1"/>
  <c r="AC218" i="1"/>
  <c r="AC184" i="1"/>
  <c r="AC178" i="1"/>
  <c r="AA171" i="1"/>
  <c r="AC140" i="1"/>
  <c r="AF140" i="1"/>
  <c r="AC171" i="1"/>
  <c r="AI195" i="1"/>
  <c r="AA329" i="1"/>
  <c r="AC325" i="1"/>
  <c r="AF76" i="1"/>
  <c r="AF26" i="1"/>
  <c r="AF38" i="1"/>
  <c r="AF218" i="1"/>
  <c r="AF31" i="1"/>
  <c r="AF46" i="1"/>
  <c r="AF135" i="1"/>
  <c r="AA309" i="1"/>
  <c r="AC291" i="1"/>
  <c r="AC255" i="1"/>
  <c r="AC226" i="1"/>
  <c r="AC195" i="1"/>
  <c r="AC81" i="1"/>
  <c r="AC76" i="1"/>
  <c r="AC26" i="1"/>
  <c r="AC12" i="1"/>
  <c r="AC13" i="1" s="1"/>
  <c r="AF171" i="1"/>
  <c r="AA226" i="1"/>
  <c r="AF184" i="1"/>
  <c r="AA12" i="1"/>
  <c r="AA13" i="1" s="1"/>
  <c r="AA26" i="1"/>
  <c r="AA31" i="1"/>
  <c r="AA38" i="1"/>
  <c r="AA125" i="1"/>
  <c r="AA135" i="1"/>
  <c r="AF195" i="1"/>
  <c r="AF226" i="1"/>
  <c r="AF81" i="1"/>
  <c r="AF270" i="1"/>
  <c r="AA292" i="1"/>
  <c r="AC260" i="1"/>
  <c r="AA81" i="1"/>
  <c r="AF260" i="1"/>
  <c r="AJ283" i="1"/>
  <c r="AA76" i="1"/>
  <c r="AC38" i="1"/>
  <c r="AC135" i="1"/>
  <c r="AC159" i="1"/>
  <c r="AA255" i="1"/>
  <c r="AC270" i="1"/>
  <c r="AA325" i="1"/>
  <c r="AC329" i="1"/>
  <c r="AA159" i="1"/>
  <c r="AA270" i="1"/>
  <c r="AC31" i="1"/>
  <c r="AC125" i="1"/>
  <c r="AA195" i="1"/>
  <c r="AA260" i="1"/>
  <c r="AC283" i="1"/>
  <c r="AC309" i="1"/>
  <c r="AA68" i="1"/>
  <c r="AC46" i="1"/>
  <c r="AE68" i="1"/>
  <c r="AF125" i="1"/>
  <c r="AF255" i="1"/>
  <c r="AJ303" i="1"/>
  <c r="AF159" i="1"/>
  <c r="AJ329" i="1"/>
  <c r="AC68" i="1"/>
  <c r="AA46" i="1"/>
  <c r="AE148" i="1"/>
  <c r="AE149" i="1" s="1"/>
  <c r="AI148" i="1"/>
  <c r="AI149" i="1" s="1"/>
  <c r="AE226" i="1"/>
  <c r="AE291" i="1"/>
  <c r="AI291" i="1"/>
  <c r="AK325" i="1"/>
  <c r="AG226" i="1"/>
  <c r="AG148" i="1"/>
  <c r="AG149" i="1" s="1"/>
  <c r="AK148" i="1"/>
  <c r="AK149" i="1" s="1"/>
  <c r="AG76" i="1"/>
  <c r="AG46" i="1"/>
  <c r="AG38" i="1"/>
  <c r="AG31" i="1"/>
  <c r="AG26" i="1"/>
  <c r="AG12" i="1"/>
  <c r="AG13" i="1" s="1"/>
  <c r="AI140" i="1"/>
  <c r="AE260" i="1"/>
  <c r="AE303" i="1"/>
  <c r="AI303" i="1"/>
  <c r="AE329" i="1"/>
  <c r="AK291" i="1"/>
  <c r="AG255" i="1"/>
  <c r="AG195" i="1"/>
  <c r="AG159" i="1"/>
  <c r="AG135" i="1"/>
  <c r="AG81" i="1"/>
  <c r="AG319" i="1"/>
  <c r="AG329" i="1"/>
  <c r="AJ148" i="1"/>
  <c r="AJ149" i="1" s="1"/>
  <c r="AJ291" i="1"/>
  <c r="AF280" i="1"/>
  <c r="AF291" i="1"/>
  <c r="AF309" i="1"/>
  <c r="AF319" i="1"/>
  <c r="AF325" i="1"/>
  <c r="AF329" i="1"/>
  <c r="AI283" i="1"/>
  <c r="AK283" i="1"/>
  <c r="AK303" i="1"/>
  <c r="AK329" i="1"/>
  <c r="AI184" i="1"/>
  <c r="AG270" i="1"/>
  <c r="AG260" i="1"/>
  <c r="AF249" i="1"/>
  <c r="M334" i="1"/>
  <c r="K334" i="1"/>
  <c r="I334" i="1"/>
  <c r="M332" i="1"/>
  <c r="K332" i="1"/>
  <c r="I332" i="1"/>
  <c r="I142" i="1"/>
  <c r="I106" i="1"/>
  <c r="M220" i="1"/>
  <c r="K220" i="1"/>
  <c r="I220" i="1"/>
  <c r="AK296" i="1" l="1"/>
  <c r="AK301" i="1" s="1"/>
  <c r="AG296" i="1"/>
  <c r="AJ296" i="1"/>
  <c r="AJ301" i="1" s="1"/>
  <c r="AF296" i="1"/>
  <c r="AB301" i="1"/>
  <c r="AB310" i="1" s="1"/>
  <c r="AJ229" i="1"/>
  <c r="AF229" i="1"/>
  <c r="AF232" i="1" s="1"/>
  <c r="AB232" i="1"/>
  <c r="AI296" i="1"/>
  <c r="AI301" i="1" s="1"/>
  <c r="AE296" i="1"/>
  <c r="AC220" i="1"/>
  <c r="AC222" i="1" s="1"/>
  <c r="AC233" i="1" s="1"/>
  <c r="AA220" i="1"/>
  <c r="AA222" i="1" s="1"/>
  <c r="AA233" i="1" s="1"/>
  <c r="AB220" i="1"/>
  <c r="AI229" i="1"/>
  <c r="AI232" i="1" s="1"/>
  <c r="AE229" i="1"/>
  <c r="AE232" i="1" s="1"/>
  <c r="AA301" i="1"/>
  <c r="AA310" i="1" s="1"/>
  <c r="AK229" i="1"/>
  <c r="AK232" i="1" s="1"/>
  <c r="AG229" i="1"/>
  <c r="AG232" i="1" s="1"/>
  <c r="AJ200" i="1"/>
  <c r="AB207" i="1"/>
  <c r="AF200" i="1"/>
  <c r="AC334" i="1"/>
  <c r="AA334" i="1"/>
  <c r="AB334" i="1"/>
  <c r="AI200" i="1"/>
  <c r="AE200" i="1"/>
  <c r="AC106" i="1"/>
  <c r="AC113" i="1" s="1"/>
  <c r="AC126" i="1" s="1"/>
  <c r="AA106" i="1"/>
  <c r="AA113" i="1" s="1"/>
  <c r="AA126" i="1" s="1"/>
  <c r="AB106" i="1"/>
  <c r="AK200" i="1"/>
  <c r="AG200" i="1"/>
  <c r="AA207" i="1"/>
  <c r="AA208" i="1" s="1"/>
  <c r="AI204" i="1"/>
  <c r="AE204" i="1"/>
  <c r="AI186" i="1"/>
  <c r="AI190" i="1" s="1"/>
  <c r="AE186" i="1"/>
  <c r="AE190" i="1" s="1"/>
  <c r="AC332" i="1"/>
  <c r="AA332" i="1"/>
  <c r="AB332" i="1"/>
  <c r="AK204" i="1"/>
  <c r="AG204" i="1"/>
  <c r="AG186" i="1"/>
  <c r="AG190" i="1" s="1"/>
  <c r="AK186" i="1"/>
  <c r="AK190" i="1" s="1"/>
  <c r="AJ204" i="1"/>
  <c r="AF204" i="1"/>
  <c r="AJ186" i="1"/>
  <c r="AJ190" i="1" s="1"/>
  <c r="AF186" i="1"/>
  <c r="AF190" i="1" s="1"/>
  <c r="AB190" i="1"/>
  <c r="AK260" i="1"/>
  <c r="AI226" i="1"/>
  <c r="AI319" i="1"/>
  <c r="AJ325" i="1"/>
  <c r="AE249" i="1"/>
  <c r="AE140" i="1"/>
  <c r="AI249" i="1"/>
  <c r="AK319" i="1"/>
  <c r="AI280" i="1"/>
  <c r="AI292" i="1" s="1"/>
  <c r="AE319" i="1"/>
  <c r="AE280" i="1"/>
  <c r="AE292" i="1" s="1"/>
  <c r="AJ319" i="1"/>
  <c r="AG280" i="1"/>
  <c r="AG249" i="1"/>
  <c r="AJ280" i="1"/>
  <c r="AJ292" i="1" s="1"/>
  <c r="AG291" i="1"/>
  <c r="AK280" i="1"/>
  <c r="AK292" i="1" s="1"/>
  <c r="AK249" i="1"/>
  <c r="AI260" i="1"/>
  <c r="AJ243" i="1"/>
  <c r="AJ249" i="1"/>
  <c r="AI243" i="1"/>
  <c r="AK243" i="1"/>
  <c r="AE178" i="1"/>
  <c r="AK218" i="1"/>
  <c r="AK178" i="1"/>
  <c r="AG178" i="1"/>
  <c r="AG218" i="1"/>
  <c r="AG243" i="1"/>
  <c r="AE243" i="1"/>
  <c r="AJ178" i="1"/>
  <c r="AK184" i="1"/>
  <c r="AI178" i="1"/>
  <c r="AE218" i="1"/>
  <c r="AK226" i="1"/>
  <c r="AJ226" i="1"/>
  <c r="AJ195" i="1"/>
  <c r="AE171" i="1"/>
  <c r="AJ140" i="1"/>
  <c r="AG184" i="1"/>
  <c r="AJ184" i="1"/>
  <c r="AI218" i="1"/>
  <c r="AK140" i="1"/>
  <c r="AI171" i="1"/>
  <c r="AK171" i="1"/>
  <c r="AG171" i="1"/>
  <c r="AG140" i="1"/>
  <c r="AK270" i="1"/>
  <c r="AI255" i="1"/>
  <c r="AJ270" i="1"/>
  <c r="AJ218" i="1"/>
  <c r="AJ255" i="1"/>
  <c r="AK255" i="1"/>
  <c r="AK195" i="1"/>
  <c r="AI329" i="1"/>
  <c r="AI309" i="1"/>
  <c r="AI270" i="1"/>
  <c r="AJ260" i="1"/>
  <c r="AK309" i="1"/>
  <c r="AI325" i="1"/>
  <c r="AJ309" i="1"/>
  <c r="AJ159" i="1"/>
  <c r="AI159" i="1"/>
  <c r="AK159" i="1"/>
  <c r="AJ125" i="1"/>
  <c r="AI135" i="1"/>
  <c r="AJ171" i="1"/>
  <c r="AK125" i="1"/>
  <c r="AE255" i="1"/>
  <c r="AK135" i="1"/>
  <c r="AG309" i="1"/>
  <c r="AJ135" i="1"/>
  <c r="AI125" i="1"/>
  <c r="AF292" i="1"/>
  <c r="AE325" i="1"/>
  <c r="AJ81" i="1"/>
  <c r="AJ82" i="1" s="1"/>
  <c r="AJ83" i="1" s="1"/>
  <c r="AI81" i="1"/>
  <c r="AI82" i="1" s="1"/>
  <c r="AI83" i="1" s="1"/>
  <c r="AK81" i="1"/>
  <c r="AK82" i="1" s="1"/>
  <c r="AK83" i="1" s="1"/>
  <c r="AF47" i="1"/>
  <c r="AE125" i="1"/>
  <c r="AG125" i="1"/>
  <c r="AC207" i="1"/>
  <c r="AC208" i="1" s="1"/>
  <c r="AC310" i="1"/>
  <c r="AF12" i="1"/>
  <c r="AF13" i="1" s="1"/>
  <c r="AE31" i="1"/>
  <c r="AA271" i="1"/>
  <c r="AG47" i="1"/>
  <c r="AE46" i="1"/>
  <c r="AE159" i="1"/>
  <c r="AE76" i="1"/>
  <c r="AE270" i="1"/>
  <c r="AE38" i="1"/>
  <c r="AE26" i="1"/>
  <c r="AE12" i="1"/>
  <c r="AE13" i="1" s="1"/>
  <c r="AC47" i="1"/>
  <c r="AC292" i="1"/>
  <c r="AE81" i="1"/>
  <c r="AE309" i="1"/>
  <c r="AA47" i="1"/>
  <c r="AE195" i="1"/>
  <c r="AC271" i="1"/>
  <c r="AF271" i="1"/>
  <c r="AG325" i="1"/>
  <c r="AE135" i="1"/>
  <c r="AJ232" i="1"/>
  <c r="M142" i="1"/>
  <c r="K142" i="1"/>
  <c r="AF207" i="1" l="1"/>
  <c r="AF208" i="1" s="1"/>
  <c r="AC142" i="1"/>
  <c r="AG142" i="1" s="1"/>
  <c r="AJ207" i="1"/>
  <c r="AJ208" i="1" s="1"/>
  <c r="AI207" i="1"/>
  <c r="AI208" i="1" s="1"/>
  <c r="AE207" i="1"/>
  <c r="AE208" i="1" s="1"/>
  <c r="AE334" i="1"/>
  <c r="AI334" i="1"/>
  <c r="AG220" i="1"/>
  <c r="AG222" i="1" s="1"/>
  <c r="AG233" i="1" s="1"/>
  <c r="AK220" i="1"/>
  <c r="AK222" i="1" s="1"/>
  <c r="AK233" i="1" s="1"/>
  <c r="AB142" i="1"/>
  <c r="AK334" i="1"/>
  <c r="AG334" i="1"/>
  <c r="AJ334" i="1"/>
  <c r="AF334" i="1"/>
  <c r="AA142" i="1"/>
  <c r="AJ106" i="1"/>
  <c r="AJ113" i="1" s="1"/>
  <c r="AJ126" i="1" s="1"/>
  <c r="AF106" i="1"/>
  <c r="AF113" i="1" s="1"/>
  <c r="AF126" i="1" s="1"/>
  <c r="AB113" i="1"/>
  <c r="AB126" i="1" s="1"/>
  <c r="AI106" i="1"/>
  <c r="AI113" i="1" s="1"/>
  <c r="AI126" i="1" s="1"/>
  <c r="AE106" i="1"/>
  <c r="AE113" i="1" s="1"/>
  <c r="AE126" i="1" s="1"/>
  <c r="AE220" i="1"/>
  <c r="AE222" i="1" s="1"/>
  <c r="AE233" i="1" s="1"/>
  <c r="AI220" i="1"/>
  <c r="AI222" i="1" s="1"/>
  <c r="AI233" i="1" s="1"/>
  <c r="AB208" i="1"/>
  <c r="AB339" i="1"/>
  <c r="AB340" i="1" s="1"/>
  <c r="AJ332" i="1"/>
  <c r="AF332" i="1"/>
  <c r="AK106" i="1"/>
  <c r="AK113" i="1" s="1"/>
  <c r="AK126" i="1" s="1"/>
  <c r="AG106" i="1"/>
  <c r="AG113" i="1" s="1"/>
  <c r="AG126" i="1" s="1"/>
  <c r="AI332" i="1"/>
  <c r="AE332" i="1"/>
  <c r="AG332" i="1"/>
  <c r="AK332" i="1"/>
  <c r="AB222" i="1"/>
  <c r="AB233" i="1" s="1"/>
  <c r="AF220" i="1"/>
  <c r="AF222" i="1" s="1"/>
  <c r="AF233" i="1" s="1"/>
  <c r="AJ220" i="1"/>
  <c r="AJ222" i="1" s="1"/>
  <c r="AJ233" i="1" s="1"/>
  <c r="AI310" i="1"/>
  <c r="AK207" i="1"/>
  <c r="AK208" i="1" s="1"/>
  <c r="AG207" i="1"/>
  <c r="AG208" i="1" s="1"/>
  <c r="AG271" i="1"/>
  <c r="AG292" i="1"/>
  <c r="AK271" i="1"/>
  <c r="AK310" i="1"/>
  <c r="AJ310" i="1"/>
  <c r="AJ271" i="1"/>
  <c r="AI271" i="1"/>
  <c r="AE271" i="1"/>
  <c r="AE47" i="1"/>
  <c r="AC339" i="1"/>
  <c r="AC340" i="1" s="1"/>
  <c r="AA339" i="1"/>
  <c r="AA340" i="1" s="1"/>
  <c r="I58" i="1"/>
  <c r="AK142" i="1" l="1"/>
  <c r="AK146" i="1" s="1"/>
  <c r="AK160" i="1" s="1"/>
  <c r="AC146" i="1"/>
  <c r="AC160" i="1" s="1"/>
  <c r="AC341" i="1" s="1"/>
  <c r="AJ142" i="1"/>
  <c r="AJ146" i="1" s="1"/>
  <c r="AJ160" i="1" s="1"/>
  <c r="AF142" i="1"/>
  <c r="AF146" i="1" s="1"/>
  <c r="AF160" i="1" s="1"/>
  <c r="AB146" i="1"/>
  <c r="AB160" i="1" s="1"/>
  <c r="AB341" i="1" s="1"/>
  <c r="AI142" i="1"/>
  <c r="AI146" i="1" s="1"/>
  <c r="AI160" i="1" s="1"/>
  <c r="AE142" i="1"/>
  <c r="AE146" i="1" s="1"/>
  <c r="AE160" i="1" s="1"/>
  <c r="AA146" i="1"/>
  <c r="AA160" i="1" s="1"/>
  <c r="AA341" i="1" s="1"/>
  <c r="AB58" i="1"/>
  <c r="AA58" i="1"/>
  <c r="AA60" i="1" s="1"/>
  <c r="AC58" i="1"/>
  <c r="AK339" i="1"/>
  <c r="AK340" i="1" s="1"/>
  <c r="AI339" i="1"/>
  <c r="AI340" i="1" s="1"/>
  <c r="AJ339" i="1"/>
  <c r="AJ340" i="1" s="1"/>
  <c r="AF339" i="1"/>
  <c r="AF340" i="1" s="1"/>
  <c r="AG339" i="1"/>
  <c r="AG340" i="1" s="1"/>
  <c r="AE339" i="1"/>
  <c r="AE340" i="1" s="1"/>
  <c r="AG146" i="1"/>
  <c r="AG160" i="1" s="1"/>
  <c r="M60" i="1"/>
  <c r="K60" i="1"/>
  <c r="M19" i="1"/>
  <c r="O339" i="1"/>
  <c r="O329" i="1"/>
  <c r="O325" i="1"/>
  <c r="O309" i="1"/>
  <c r="O283" i="1"/>
  <c r="O292" i="1" s="1"/>
  <c r="O270" i="1"/>
  <c r="O260" i="1"/>
  <c r="O255" i="1"/>
  <c r="O232" i="1"/>
  <c r="O226" i="1"/>
  <c r="O222" i="1"/>
  <c r="O207" i="1"/>
  <c r="O195" i="1"/>
  <c r="O190" i="1"/>
  <c r="O159" i="1"/>
  <c r="O149" i="1"/>
  <c r="O146" i="1"/>
  <c r="O135" i="1"/>
  <c r="O125" i="1"/>
  <c r="O113" i="1"/>
  <c r="O81" i="1"/>
  <c r="O76" i="1"/>
  <c r="O68" i="1"/>
  <c r="O60" i="1"/>
  <c r="O46" i="1"/>
  <c r="O38" i="1"/>
  <c r="O31" i="1"/>
  <c r="O26" i="1"/>
  <c r="O21" i="1"/>
  <c r="O12" i="1"/>
  <c r="O13" i="1" s="1"/>
  <c r="I339" i="1"/>
  <c r="I329" i="1"/>
  <c r="I325" i="1"/>
  <c r="I309" i="1"/>
  <c r="I283" i="1"/>
  <c r="I292" i="1" s="1"/>
  <c r="I270" i="1"/>
  <c r="I260" i="1"/>
  <c r="I255" i="1"/>
  <c r="I232" i="1"/>
  <c r="I226" i="1"/>
  <c r="I222" i="1"/>
  <c r="I207" i="1"/>
  <c r="I195" i="1"/>
  <c r="I190" i="1"/>
  <c r="I159" i="1"/>
  <c r="I149" i="1"/>
  <c r="I146" i="1"/>
  <c r="I135" i="1"/>
  <c r="I125" i="1"/>
  <c r="I113" i="1"/>
  <c r="I81" i="1"/>
  <c r="I76" i="1"/>
  <c r="I68" i="1"/>
  <c r="I60" i="1"/>
  <c r="I46" i="1"/>
  <c r="I38" i="1"/>
  <c r="I31" i="1"/>
  <c r="I26" i="1"/>
  <c r="I21" i="1"/>
  <c r="I12" i="1"/>
  <c r="I13" i="1" s="1"/>
  <c r="U339" i="1"/>
  <c r="M339" i="1"/>
  <c r="K339" i="1"/>
  <c r="U329" i="1"/>
  <c r="M329" i="1"/>
  <c r="K329" i="1"/>
  <c r="U325" i="1"/>
  <c r="M325" i="1"/>
  <c r="K325" i="1"/>
  <c r="U309" i="1"/>
  <c r="M309" i="1"/>
  <c r="M310" i="1" s="1"/>
  <c r="K309" i="1"/>
  <c r="U291" i="1"/>
  <c r="U283" i="1"/>
  <c r="M283" i="1"/>
  <c r="M292" i="1" s="1"/>
  <c r="K283" i="1"/>
  <c r="K292" i="1" s="1"/>
  <c r="M270" i="1"/>
  <c r="K270" i="1"/>
  <c r="U260" i="1"/>
  <c r="M260" i="1"/>
  <c r="K260" i="1"/>
  <c r="U255" i="1"/>
  <c r="M255" i="1"/>
  <c r="K255" i="1"/>
  <c r="U232" i="1"/>
  <c r="M232" i="1"/>
  <c r="K232" i="1"/>
  <c r="U226" i="1"/>
  <c r="M226" i="1"/>
  <c r="K226" i="1"/>
  <c r="U222" i="1"/>
  <c r="M222" i="1"/>
  <c r="K222" i="1"/>
  <c r="U207" i="1"/>
  <c r="M207" i="1"/>
  <c r="K207" i="1"/>
  <c r="U195" i="1"/>
  <c r="M195" i="1"/>
  <c r="K195" i="1"/>
  <c r="U190" i="1"/>
  <c r="M190" i="1"/>
  <c r="K190" i="1"/>
  <c r="U159" i="1"/>
  <c r="M159" i="1"/>
  <c r="K159" i="1"/>
  <c r="U149" i="1"/>
  <c r="M149" i="1"/>
  <c r="K149" i="1"/>
  <c r="U146" i="1"/>
  <c r="M146" i="1"/>
  <c r="K146" i="1"/>
  <c r="M135" i="1"/>
  <c r="K135" i="1"/>
  <c r="U125" i="1"/>
  <c r="M125" i="1"/>
  <c r="K125" i="1"/>
  <c r="U113" i="1"/>
  <c r="M113" i="1"/>
  <c r="K113" i="1"/>
  <c r="U81" i="1"/>
  <c r="M81" i="1"/>
  <c r="K81" i="1"/>
  <c r="U76" i="1"/>
  <c r="M76" i="1"/>
  <c r="K76" i="1"/>
  <c r="U68" i="1"/>
  <c r="K68" i="1"/>
  <c r="U60" i="1"/>
  <c r="U46" i="1"/>
  <c r="M46" i="1"/>
  <c r="K46" i="1"/>
  <c r="U38" i="1"/>
  <c r="M38" i="1"/>
  <c r="K38" i="1"/>
  <c r="U31" i="1"/>
  <c r="M31" i="1"/>
  <c r="K31" i="1"/>
  <c r="U26" i="1"/>
  <c r="M26" i="1"/>
  <c r="K26" i="1"/>
  <c r="U21" i="1"/>
  <c r="K21" i="1"/>
  <c r="U13" i="1"/>
  <c r="M12" i="1"/>
  <c r="M13" i="1" s="1"/>
  <c r="K12" i="1"/>
  <c r="K13" i="1" s="1"/>
  <c r="U271" i="1" l="1"/>
  <c r="AK58" i="1"/>
  <c r="AG58" i="1"/>
  <c r="AG60" i="1" s="1"/>
  <c r="AI58" i="1"/>
  <c r="AE58" i="1"/>
  <c r="AE60" i="1" s="1"/>
  <c r="AB19" i="1"/>
  <c r="AC19" i="1"/>
  <c r="AC21" i="1" s="1"/>
  <c r="AC32" i="1" s="1"/>
  <c r="AA19" i="1"/>
  <c r="AA21" i="1" s="1"/>
  <c r="AA32" i="1" s="1"/>
  <c r="AJ58" i="1"/>
  <c r="AF58" i="1"/>
  <c r="AF60" i="1" s="1"/>
  <c r="AB60" i="1"/>
  <c r="AC60" i="1"/>
  <c r="AK341" i="1"/>
  <c r="AK342" i="1" s="1"/>
  <c r="AK343" i="1" s="1"/>
  <c r="I208" i="1"/>
  <c r="AI341" i="1"/>
  <c r="AI342" i="1" s="1"/>
  <c r="AI343" i="1" s="1"/>
  <c r="U233" i="1"/>
  <c r="K208" i="1"/>
  <c r="M208" i="1"/>
  <c r="U292" i="1"/>
  <c r="U208" i="1"/>
  <c r="O208" i="1"/>
  <c r="AJ341" i="1"/>
  <c r="AJ342" i="1" s="1"/>
  <c r="AJ343" i="1" s="1"/>
  <c r="U310" i="1"/>
  <c r="U340" i="1"/>
  <c r="U47" i="1"/>
  <c r="U32" i="1"/>
  <c r="M21" i="1"/>
  <c r="M32" i="1" s="1"/>
  <c r="O310" i="1"/>
  <c r="U126" i="1"/>
  <c r="O126" i="1"/>
  <c r="U160" i="1"/>
  <c r="O32" i="1"/>
  <c r="O160" i="1"/>
  <c r="O340" i="1"/>
  <c r="I271" i="1"/>
  <c r="I340" i="1"/>
  <c r="O233" i="1"/>
  <c r="O271" i="1"/>
  <c r="I310" i="1"/>
  <c r="I233" i="1"/>
  <c r="I160" i="1"/>
  <c r="I126" i="1"/>
  <c r="O47" i="1"/>
  <c r="K47" i="1"/>
  <c r="M47" i="1"/>
  <c r="I47" i="1"/>
  <c r="I32" i="1"/>
  <c r="K160" i="1"/>
  <c r="K310" i="1"/>
  <c r="M126" i="1"/>
  <c r="M340" i="1"/>
  <c r="K340" i="1"/>
  <c r="K271" i="1"/>
  <c r="M271" i="1"/>
  <c r="M233" i="1"/>
  <c r="K233" i="1"/>
  <c r="M160" i="1"/>
  <c r="K126" i="1"/>
  <c r="K32" i="1"/>
  <c r="AE19" i="1" l="1"/>
  <c r="AE21" i="1" s="1"/>
  <c r="AE32" i="1" s="1"/>
  <c r="AE82" i="1" s="1"/>
  <c r="AE83" i="1" s="1"/>
  <c r="AI19" i="1"/>
  <c r="AK19" i="1"/>
  <c r="AG19" i="1"/>
  <c r="AG21" i="1" s="1"/>
  <c r="AG32" i="1" s="1"/>
  <c r="AG82" i="1" s="1"/>
  <c r="AG83" i="1" s="1"/>
  <c r="AJ19" i="1"/>
  <c r="AF19" i="1"/>
  <c r="AF21" i="1" s="1"/>
  <c r="AF32" i="1" s="1"/>
  <c r="AF82" i="1" s="1"/>
  <c r="AF83" i="1" s="1"/>
  <c r="AB21" i="1"/>
  <c r="AB32" i="1" s="1"/>
  <c r="AE301" i="1"/>
  <c r="AE310" i="1" s="1"/>
  <c r="AE341" i="1" s="1"/>
  <c r="AG301" i="1"/>
  <c r="AG310" i="1" s="1"/>
  <c r="AG341" i="1" s="1"/>
  <c r="AF301" i="1"/>
  <c r="AF310" i="1" s="1"/>
  <c r="AF341" i="1" s="1"/>
  <c r="O341" i="1"/>
  <c r="U341" i="1"/>
  <c r="I341" i="1"/>
  <c r="M341" i="1"/>
  <c r="K341" i="1"/>
  <c r="AE342" i="1" l="1"/>
  <c r="AE343" i="1" s="1"/>
  <c r="AF342" i="1"/>
  <c r="AF343" i="1" s="1"/>
  <c r="AG342" i="1"/>
  <c r="AG343" i="1" s="1"/>
  <c r="I82" i="1"/>
  <c r="I83" i="1" s="1"/>
  <c r="I342" i="1" s="1"/>
  <c r="I343" i="1" s="1"/>
  <c r="K82" i="1"/>
  <c r="K83" i="1" s="1"/>
  <c r="K342" i="1" s="1"/>
  <c r="K343" i="1" s="1"/>
  <c r="M82" i="1"/>
  <c r="M83" i="1" s="1"/>
  <c r="M342" i="1" s="1"/>
  <c r="M343" i="1" s="1"/>
  <c r="O82" i="1"/>
  <c r="O83" i="1" s="1"/>
  <c r="O342" i="1" s="1"/>
  <c r="O343" i="1" s="1"/>
  <c r="Q82" i="1"/>
  <c r="Q83" i="1" s="1"/>
  <c r="Q342" i="1" s="1"/>
  <c r="Q343" i="1" s="1"/>
  <c r="U82" i="1"/>
  <c r="U83" i="1" s="1"/>
  <c r="W82" i="1"/>
  <c r="W83" i="1" s="1"/>
  <c r="W342" i="1" s="1"/>
  <c r="W343" i="1" s="1"/>
  <c r="Y82" i="1"/>
  <c r="Y83" i="1" s="1"/>
  <c r="Y342" i="1" s="1"/>
  <c r="Y343" i="1" s="1"/>
  <c r="AA82" i="1"/>
  <c r="AA83" i="1" s="1"/>
  <c r="AA342" i="1" s="1"/>
  <c r="AA343" i="1" s="1"/>
  <c r="AC82" i="1"/>
  <c r="AC83" i="1" s="1"/>
  <c r="AC342" i="1" s="1"/>
  <c r="AC343" i="1" s="1"/>
  <c r="U342" i="1" l="1"/>
  <c r="U343" i="1" s="1"/>
  <c r="AB82" i="1"/>
  <c r="AB83" i="1" s="1"/>
  <c r="AB342" i="1" s="1"/>
  <c r="AB3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Sheena Gossett</author>
    <author>Scott Koenig</author>
    <author>skoenig</author>
  </authors>
  <commentList>
    <comment ref="U2" authorId="0" shapeId="0" xr:uid="{CAEA47C5-3D92-4680-B410-31C10F2AF0B9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As of 02/29/2020.</t>
        </r>
      </text>
    </comment>
    <comment ref="Y2" authorId="1" shapeId="0" xr:uid="{8BFD59E4-42EF-4809-A65C-82B314BB5F4D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As of 03/09/2020.  Includes notes and comments from 03/07/2020 Commissioner's Meeting.
</t>
        </r>
      </text>
    </comment>
    <comment ref="W7" authorId="2" shapeId="0" xr:uid="{D5AF293A-2CC8-452E-86E5-7AF1CE05B351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Range discussed at the B&amp;F Committee workshop on 02/08/2019 was $630K - $650K - $675K</t>
        </r>
      </text>
    </comment>
    <comment ref="Y7" authorId="1" shapeId="0" xr:uid="{E8F59CE7-DA14-4F89-885A-13E34B5CB2CE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$630,000 seems reasonable as of 2/25/2020.  $600K discussed at 3/07/2020.  3/16/2020 - Use $605K - SDK
</t>
        </r>
      </text>
    </comment>
    <comment ref="W9" authorId="2" shapeId="0" xr:uid="{9977CF3D-60E5-4C88-A7A8-B46DC87E52BB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Range discussed at the B&amp;F Committee workshop on 02/08/2019 was $510K - $520K. Use $512.5K (0.005%) increase.
</t>
        </r>
      </text>
    </comment>
    <comment ref="Y9" authorId="1" shapeId="0" xr:uid="{7D716776-F405-4F93-A1F7-81DCC06B2A62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$475K discussed at 03/07/2020 meeting.</t>
        </r>
      </text>
    </comment>
    <comment ref="Y10" authorId="1" shapeId="0" xr:uid="{8E0C772C-FA1B-4BDB-8C15-FEA1F69C3E51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$57,350 is 3-year average.</t>
        </r>
      </text>
    </comment>
    <comment ref="Y19" authorId="1" shapeId="0" xr:uid="{D42453B4-07FD-423F-A036-C635933A94CA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Increased from $225,000 to $227,500 on 02/24/2020.</t>
        </r>
      </text>
    </comment>
    <comment ref="Y23" authorId="1" shapeId="0" xr:uid="{6F7FD375-655A-4DA5-9EDA-CD3CF78578CB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Use 800 permits X $250.00 = $200,000 and 800 permits x $150.00 = $120,000; Total = $320,000</t>
        </r>
      </text>
    </comment>
    <comment ref="Y24" authorId="1" shapeId="0" xr:uid="{0F87C9AE-C35A-46A3-8C5A-2F6122397DF7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Use $365,000 X 1.20 = $438,000.  $420,000 discussed at 03/07/2020 meeting.  Revise to $435K per GP email.</t>
        </r>
      </text>
    </comment>
    <comment ref="Y25" authorId="1" shapeId="0" xr:uid="{1B7D5AC9-985C-494B-9984-4AB804BC8D3F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Use $345,000 X 1.25 = $431,250; therefore, use $435,000 plus $27,000 extra for variable pricing estimate for weekends.  Use $462K.  $440,000 disccused at 03/07/2020 meeting.
</t>
        </r>
      </text>
    </comment>
    <comment ref="Y30" authorId="1" shapeId="0" xr:uid="{69779EDC-DC13-40FE-A846-84925D332132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Increased to $26K related to DM comments.  Reduce to $20K per GP email.</t>
        </r>
      </text>
    </comment>
    <comment ref="W35" authorId="2" shapeId="0" xr:uid="{25B743DB-8255-4D56-B05D-1D7A26792D44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Concerns raised about this revenue stream at the B&amp;F Workshop.</t>
        </r>
      </text>
    </comment>
    <comment ref="U36" authorId="0" shapeId="0" xr:uid="{4CD08529-003D-4163-9248-DF8FC71DDE6E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This is only collections from First Collect.  Any in-house collections of delinquent tickets are not stated as such.</t>
        </r>
      </text>
    </comment>
    <comment ref="W37" authorId="2" shapeId="0" xr:uid="{A5B44B3D-36F2-48F5-9DA8-7380F6E469A4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Revised upward to $1,500 per email from 03-28-2019</t>
        </r>
      </text>
    </comment>
    <comment ref="W41" authorId="2" shapeId="0" xr:uid="{6C33D4D7-BD6F-463D-9168-BFB46191C3EE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Reduced from $20,000 to $15,000 on 03/29/2019 per email.</t>
        </r>
      </text>
    </comment>
    <comment ref="U43" authorId="0" shapeId="0" xr:uid="{D411F749-4B1E-495E-B4B6-F2A80C47866B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This is for issues prior to 2018.  First Collect is not being used for anything since 2018</t>
        </r>
      </text>
    </comment>
    <comment ref="Y44" authorId="1" shapeId="0" xr:uid="{4ABE86CD-957C-4889-AD79-C7029A7BE8F0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Est. = $100 per month.</t>
        </r>
      </text>
    </comment>
    <comment ref="W49" authorId="2" shapeId="0" xr:uid="{23E59846-DE57-4F9D-BB3C-194BA6EDC1FF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Increase from $1,500 to $3,000 on 03/29/2019 per email.</t>
        </r>
      </text>
    </comment>
    <comment ref="Y50" authorId="1" shapeId="0" xr:uid="{C2AA9695-4D71-4CFA-9AAF-80A463E9A36F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Increased from $15,000 to $20,000 on 02/24/2020. $15,000 on 03/04/2020.  Use $18.5K as of 03/16/20 - SDK</t>
        </r>
      </text>
    </comment>
    <comment ref="W51" authorId="2" shapeId="0" xr:uid="{9BBE2FB1-C2AC-4C80-AE31-A4E6BE76F976}">
      <text>
        <r>
          <rPr>
            <b/>
            <sz val="9"/>
            <color indexed="81"/>
            <rFont val="Tahoma"/>
            <family val="2"/>
          </rPr>
          <t>skoenig
02/20/19: Estimated Net Annualized Interest Earning with Fulton are $28,289.  No history at this level; so use $20,000.</t>
        </r>
      </text>
    </comment>
    <comment ref="Y51" authorId="1" shapeId="0" xr:uid="{71006C5A-8E2D-4636-8FDA-581AAF657856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Concerns at 03/07/2020 meeting: $25,000.  Reduced to $10K per email from GP.</t>
        </r>
      </text>
    </comment>
    <comment ref="Y57" authorId="1" shapeId="0" xr:uid="{C93E057D-40C8-492F-B274-18D2BB38A770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Last 3 years average: $39,990.  Last 2 years average:  $41,379.  Use $40,000.</t>
        </r>
      </text>
    </comment>
    <comment ref="U58" authorId="0" shapeId="0" xr:uid="{118491DB-8939-4B68-A1F0-706122E68369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This includes SCAT Meeting payments</t>
        </r>
      </text>
    </comment>
    <comment ref="W59" authorId="2" shapeId="0" xr:uid="{04E82E7C-85A8-40E5-A9AF-576A7D1D1FDB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Verizon COW - Summer Lease Payment:  $12,500.</t>
        </r>
      </text>
    </comment>
    <comment ref="Y59" authorId="1" shapeId="0" xr:uid="{30DF3354-0CC1-4BFD-9252-E6E725CD5363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Verizon COW - Summer Lease Payment:  $13,000 (est.) - as of 2/18/2020 Verizon has indicated they will not be using the COW.  Reimbursement of Admin. Salary related to Beach Tax Administration:  $5,000.  Removed on 03/04/2020.
</t>
        </r>
      </text>
    </comment>
    <comment ref="W67" authorId="2" shapeId="0" xr:uid="{3F85A5B5-A455-44A3-BA34-AAF8AD97B098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$25K revised to $0 by Town Manager.  </t>
        </r>
      </text>
    </comment>
    <comment ref="W75" authorId="0" shapeId="0" xr:uid="{C9929FCA-0957-4396-9311-F60CDD9C17AF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Note from Scott to remove this as it was not supposed to be there.
</t>
        </r>
      </text>
    </comment>
    <comment ref="W89" authorId="2" shapeId="0" xr:uid="{A8E3EAF8-1BDF-41C5-9F57-9C1AE00736BF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Potentiallly as low as $22,000 per email from Sheena and Fulton Bank.</t>
        </r>
      </text>
    </comment>
    <comment ref="Y89" authorId="1" shapeId="0" xr:uid="{7C5F8A91-59C6-4BCD-BFC7-103B7A3F9876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FY20 - $27,500 as of 12/31/2019.</t>
        </r>
      </text>
    </comment>
    <comment ref="U92" authorId="0" shapeId="0" xr:uid="{BEA632C5-A5C4-4BF5-91F5-FCF852AF7FAA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Prior years listed as negative revenue.  Switched to expense per Luff in January 2020</t>
        </r>
      </text>
    </comment>
    <comment ref="U93" authorId="0" shapeId="0" xr:uid="{E486D6AA-52FF-47B2-B0FF-33F3510183BF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SCAT Meeting expenses in here.</t>
        </r>
      </text>
    </comment>
    <comment ref="U95" authorId="0" shapeId="0" xr:uid="{CCEB0116-EE66-4B7F-ACF1-1901D1A4F975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Town Hall donated more for the Christmas family adoptions than in past years</t>
        </r>
      </text>
    </comment>
    <comment ref="W95" authorId="2" shapeId="0" xr:uid="{D789670A-4655-42AC-96F8-514EAB723651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Reduced from $8,000 to $6,000 on 03/29/2019 per email.</t>
        </r>
      </text>
    </comment>
    <comment ref="Y95" authorId="1" shapeId="0" xr:uid="{CC792D99-FFA7-48AA-AD10-C898F13BE3A3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$5,000 Rehoboth Fire Company, $1,500 Center for Inland Bays Annual Dinner; $1,000 for Sponsorship of the Santa 5K</t>
        </r>
      </text>
    </comment>
    <comment ref="W96" authorId="2" shapeId="0" xr:uid="{9871FD19-B136-4D6F-B763-F9F599C261F2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Reduced from $5,000 to $3,000 on 03/29/2019 per email.</t>
        </r>
      </text>
    </comment>
    <comment ref="W97" authorId="2" shapeId="0" xr:uid="{6BCB8816-0E4B-44B1-BA60-8DE420B3D90A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1st Draft: $72,000; 2nd Draft: Target; $5,000 per month.</t>
        </r>
      </text>
    </comment>
    <comment ref="Y97" authorId="2" shapeId="0" xr:uid="{BD9C1365-3B92-409A-BF0F-8005D00B11F2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Target: $5,000 per month.  12/10/19 - $5,092 / month is the 21 month average.
03/07/2020 - $70K (DM); Use $5,250 per month - SDK on 03/16/2020.</t>
        </r>
      </text>
    </comment>
    <comment ref="W98" authorId="2" shapeId="0" xr:uid="{BA82503E-51E3-4F3D-A277-E0DAA6EF079C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Target expense is $3,500 per month.</t>
        </r>
      </text>
    </comment>
    <comment ref="Y98" authorId="1" shapeId="0" xr:uid="{BB6A5C2D-0298-4DF0-B5E1-0115341CFE2E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Target expense is $3,500 per month.  03/07/2020 - $75K (DM); Revise back to $42K on 03/16/2020 per SDK.</t>
        </r>
      </text>
    </comment>
    <comment ref="W101" authorId="2" shapeId="0" xr:uid="{66F867C6-30A4-40C3-AB62-4917C1753B6F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Reduced from $5,000 to $3,000 on 03/29/2019 per email.</t>
        </r>
      </text>
    </comment>
    <comment ref="W102" authorId="2" shapeId="0" xr:uid="{A4279019-EDD8-4C30-8FA5-FB4FCCFAB07B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Edmunds - Software Maintenance - $6,300; Edmunds - Hardware Maiintenance - $662</t>
        </r>
      </text>
    </comment>
    <comment ref="Y102" authorId="1" shapeId="0" xr:uid="{202657EE-5655-4C9A-AB7C-B32B4FD43981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Managed Services: $25,393; VIMEO - $2,988; Conference Line - $1,020; Stream Hoster - $1,860; T2 Systems - $13,450; Techo Goober - $25; EVO Studios - $1,800; PayPal Pay Flow - $500; Govolution - $100; Adobe - $360; Edmunds - Hardware - $662; Edmunds - Software Main - $6,643; Edmunds Cloud Hosting - $4,000 - Use $60,000.</t>
        </r>
      </text>
    </comment>
    <comment ref="U103" authorId="0" shapeId="0" xr:uid="{0553578E-9F4F-4A59-8BA9-158C30A05903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Partially offset by Police Grant
Needs to be capitalized</t>
        </r>
      </text>
    </comment>
    <comment ref="U104" authorId="0" shapeId="0" xr:uid="{624DAC4D-D6E1-442B-B225-E9C056218DA0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Have only been doing 2 of 3 listed in Resolution 190 due to 3rd bonus is supposed to be discretionary at TM will</t>
        </r>
      </text>
    </comment>
    <comment ref="W105" authorId="2" shapeId="0" xr:uid="{58911683-9E15-4B47-83B6-ABCA869832B3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De League of Local Govts: $800.00; RBDB Chamber: $235.00; ACT: $3,650; SCAT: $250</t>
        </r>
      </text>
    </comment>
    <comment ref="Y105" authorId="1" shapeId="0" xr:uid="{5B8949AF-D6B1-4E64-941A-D7FBB456032D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DE League of Local Govts: $800.00; RBDB Chamber: $235.00; ACT: $5,000 (Est.); SCAT: $250</t>
        </r>
      </text>
    </comment>
    <comment ref="U106" authorId="0" shapeId="0" xr:uid="{1BA41893-7D77-4061-8BFB-685197A6A0B7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Extra ads had to be placed due to Election issues</t>
        </r>
      </text>
    </comment>
    <comment ref="U107" authorId="0" shapeId="0" xr:uid="{74F10B68-E849-4705-88D1-D460D2168EC4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This is being offset directly to Receivable per Luff directions starting in January 2020</t>
        </r>
      </text>
    </comment>
    <comment ref="U108" authorId="0" shapeId="0" xr:uid="{11AC9F62-1205-4D73-AA0A-ADAF0C3FF3A6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entries made first week of following month.  Current through end of year with this balance</t>
        </r>
      </text>
    </comment>
    <comment ref="U109" authorId="0" shapeId="0" xr:uid="{A3CBA48F-5527-40D0-B3CD-4AF4D7783C92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entries made first week of following month.  Current through end of year with this balance</t>
        </r>
      </text>
    </comment>
    <comment ref="U110" authorId="0" shapeId="0" xr:uid="{9045DF06-DEE6-4B6F-887B-8C341AA5FF81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entries made first week of following month.  Current through end of year with this balance</t>
        </r>
      </text>
    </comment>
    <comment ref="U111" authorId="0" shapeId="0" xr:uid="{9884B341-2D9E-4FE1-9808-4336DE34520F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entries made first week of following month.  Current through end of year with this balance</t>
        </r>
      </text>
    </comment>
    <comment ref="U116" authorId="0" shapeId="0" xr:uid="{A2D3B5D2-4405-4871-A678-3CC584DB8F6D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2nd payment coming due in February</t>
        </r>
      </text>
    </comment>
    <comment ref="W116" authorId="2" shapeId="0" xr:uid="{B23BA642-6324-41A9-82DD-9A1705616F60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Commissioners voted 3-2 to reject loan payoff on January 21, 2019
</t>
        </r>
      </text>
    </comment>
    <comment ref="Y116" authorId="2" shapeId="0" xr:uid="{B3F938D7-7E35-4DD8-B69D-F79888D85067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Historically paid from the Street &amp; Infrastructure Account.</t>
        </r>
      </text>
    </comment>
    <comment ref="U117" authorId="0" shapeId="0" xr:uid="{58D8DBC4-D683-4E77-A1CA-7DE107A88252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Christmas decorations around town put to this account</t>
        </r>
      </text>
    </comment>
    <comment ref="W117" authorId="2" shapeId="0" xr:uid="{CAC83CBF-EB9D-4BAC-A6D5-F89DAF0D203A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Sposato Landscaping: $2,305.83 x 12 months = $27,670.</t>
        </r>
      </text>
    </comment>
    <comment ref="Y117" authorId="1" shapeId="0" xr:uid="{599BE623-E51C-4D54-BCD1-B5993344A2ED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$2,441.58 x 9 months plus $2,490.41 x 3 months = $29,445.45 plus $2,555 = $32,000.</t>
        </r>
      </text>
    </comment>
    <comment ref="W118" authorId="2" shapeId="0" xr:uid="{E2893640-12DC-4958-95C6-F4C42A621B9C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Waste Industries Annual Contract - $15,729.
Town Hall Roll Offs - Spring Clean Up Week - $3,500</t>
        </r>
      </text>
    </comment>
    <comment ref="Y118" authorId="1" shapeId="0" xr:uid="{218D8164-9F3B-44CF-86F7-AC0DB65876D6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Waste Industries Annual Contract - $15,921.
Town Hall Roll Offs - Spring Clean Up Week - $5,079.  Iron Mountain (Shredding) - $1,000.  Dog Waste Bags - $5,000.  Misc. Tipping Fees &amp; Enclosure Repairs - $600.  Use </t>
        </r>
      </text>
    </comment>
    <comment ref="U119" authorId="0" shapeId="0" xr:uid="{A4E27855-B51E-4029-95FB-BABE1DA4255A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Credit from Delmarva power for FY2019 expired this year.
Charges offset from reimbursement from MSA grant
</t>
        </r>
      </text>
    </comment>
    <comment ref="Y130" authorId="1" shapeId="0" xr:uid="{56358CAA-D30D-4A18-A478-D0DBB3E8BD36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4.47% increase due to OT &amp; hours worked for meetings.</t>
        </r>
      </text>
    </comment>
    <comment ref="Y135" authorId="1" shapeId="0" xr:uid="{5A6A71B6-80C1-4FEE-A714-F43F3E9B3DDD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0.89% change:  includes raises and change to employee benefits.</t>
        </r>
      </text>
    </comment>
    <comment ref="W137" authorId="2" shapeId="0" xr:uid="{4B8A34FD-6A7B-4E60-A0D5-56D5C4C86CD2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12.5 hoiurs per week  X 16 weeks X $12.00 per hour = $2,400.  Movies &amp; Bonfire:  8 weeks x 6 hours per week X $12.00 / hour = $576
use $3,100.</t>
        </r>
      </text>
    </comment>
    <comment ref="Y137" authorId="2" shapeId="0" xr:uid="{EC451433-AB11-421C-8BCB-DC963EA81B19}">
      <text>
        <r>
          <rPr>
            <b/>
            <sz val="9"/>
            <color indexed="81"/>
            <rFont val="Tahoma"/>
            <family val="2"/>
          </rPr>
          <t>skoenig: 8</t>
        </r>
        <r>
          <rPr>
            <sz val="9"/>
            <color indexed="81"/>
            <rFont val="Tahoma"/>
            <family val="2"/>
          </rPr>
          <t xml:space="preserve"> hoiurs per week  X 16 weeks X $12.00 per hour = $1,536.  Movies &amp; Bonfire:  8 weeks x 6 hours per week X $12.00 / hour = $576
use $2,100.  Add UD Summer Intern - $7,500.</t>
        </r>
      </text>
    </comment>
    <comment ref="U152" authorId="0" shapeId="0" xr:uid="{B39EDA35-5325-4B80-8A22-0FEF402B20B7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Lyons 400 / month - 4800
Shore Scan 17 / month - 2088</t>
        </r>
      </text>
    </comment>
    <comment ref="W152" authorId="2" shapeId="0" xr:uid="{3CDBC7E2-D5F8-4258-8310-9304A867640F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Payroll Processing - $5,000 Est.; Monthly accounting fees ($2,500); $27,675 for J. Dedes
</t>
        </r>
      </text>
    </comment>
    <comment ref="Y152" authorId="1" shapeId="0" xr:uid="{CB6B320B-000F-49D1-8606-7A4A183AAB73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Payroll Processing - $5,000 Est.; Monthly accounting fees ($2,000); $28,350 for J. Dedes; HR Consultant - $700 X 12 = $8,400 ; ShoreScan $174 X 12 = $2,088.</t>
        </r>
      </text>
    </comment>
    <comment ref="W153" authorId="2" shapeId="0" xr:uid="{F26C5ED4-5DE4-4814-9D57-A5C1D9B7F010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Public Officials Liability Insurance: $57,000. 50% of Town Hall Flood Insurance: $1,728; General Liability: 36% of $54,000 = $19,440.</t>
        </r>
      </text>
    </comment>
    <comment ref="Y153" authorId="1" shapeId="0" xr:uid="{AB6F48D8-B1BB-475E-A0B0-E6285538FCC4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Public Officials Liability Insurance: $57,000 (est.). 50% of Town Hall Flood Insurance: $1,857; General Liability: 36% of $42,000 = $15,120.  As of 02/28/2020.</t>
        </r>
      </text>
    </comment>
    <comment ref="Y164" authorId="1" shapeId="0" xr:uid="{9644773E-9FDE-45DF-9D2A-E69F0384288E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Estimated Payroll: $628,379 plus $10K for summer months = $638,500 (rounded).  Delete $10K - SDK - 03/16/2020.
</t>
        </r>
      </text>
    </comment>
    <comment ref="Y169" authorId="1" shapeId="0" xr:uid="{D379E1C2-84E4-44F2-9276-1F4A614040A7}">
      <text>
        <r>
          <rPr>
            <b/>
            <sz val="9"/>
            <color indexed="81"/>
            <rFont val="Tahoma"/>
            <charset val="1"/>
          </rPr>
          <t>Scott Koenig:</t>
        </r>
        <r>
          <rPr>
            <sz val="9"/>
            <color indexed="81"/>
            <rFont val="Tahoma"/>
            <charset val="1"/>
          </rPr>
          <t xml:space="preserve">
Reduced from $8,000 to $7,500 on 03/17/2020 to get to a balanced budget.  SDK</t>
        </r>
      </text>
    </comment>
    <comment ref="Y171" authorId="1" shapeId="0" xr:uid="{FF73BCA9-9FCC-450B-9F07-CD96E315836F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9.19% increase of prior year.</t>
        </r>
      </text>
    </comment>
    <comment ref="Y180" authorId="1" shapeId="0" xr:uid="{2C8351CE-2E9B-436F-9C21-41B794B1793A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20 Officers - (10 @ $13.50, 10 @ $13.75) x 40 hours X 18 weeks = $196,200.  Dispatchers (2 x 40 x 18 weeks x $11.00 per hour = $15,840.  Total: $212,040.
</t>
        </r>
      </text>
    </comment>
    <comment ref="W186" authorId="2" shapeId="0" xr:uid="{9E8D3BD6-8ADC-46D9-B847-E61A6BED8870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Cell Phones: $7,500 per year; All other utilities: $16,500.</t>
        </r>
      </text>
    </comment>
    <comment ref="W192" authorId="2" shapeId="0" xr:uid="{A036C4D0-BBD3-4C71-BC9E-DB8B45490863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Need to monitor closely.
</t>
        </r>
      </text>
    </comment>
    <comment ref="Y192" authorId="1" shapeId="0" xr:uid="{C4536737-6BA9-4FC1-AFC7-49C4E076BCAC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Reduced from $27K to $26K on 03/16/2020.</t>
        </r>
      </text>
    </comment>
    <comment ref="W197" authorId="2" shapeId="0" xr:uid="{3B32FF5D-8CEA-484A-97FF-EE5605815EE7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Assumes we get rid of Police Postage Meter, saving $600 per year for the meter cost.</t>
        </r>
      </text>
    </comment>
    <comment ref="W198" authorId="2" shapeId="0" xr:uid="{D9AB8AE1-5791-439A-BE20-5583B5BAD57F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Lexipol subscription - $6,500.  Organizatoinal Study - $7,450 (04.07.2019) &amp; $7,450 (05.24.2019) </t>
        </r>
      </text>
    </comment>
    <comment ref="Y198" authorId="1" shapeId="0" xr:uid="{30BB3A75-38ED-4B17-9F56-858429CD5739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Lexipol subscription - $7,000.  Strategic Plan - $2,500.  Misc. Support - $7,500
.</t>
        </r>
      </text>
    </comment>
    <comment ref="W200" authorId="2" shapeId="0" xr:uid="{04DFB895-52C8-41E9-AA71-BF3B4210E141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Law Enforcement Liability Insurance: $50,000 (7/1/19); 50% of Flood Insurance: $1,728; 64% of General Liability &amp; Property: $34,560.</t>
        </r>
      </text>
    </comment>
    <comment ref="Y200" authorId="1" shapeId="0" xr:uid="{B71FAB01-C9FF-4620-9DDD-F78A1F211FF7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Law Enforcement Liability Insurance: $50,000 (7/1/19); 50% of Flood Insurance: $1,857; 64% of General Liability &amp; Property ($42,000) = $26,880.  As of 02/28/2020</t>
        </r>
      </text>
    </comment>
    <comment ref="W202" authorId="2" shapeId="0" xr:uid="{B4FB0173-11B0-4ABC-AE37-7B8CD8F198B1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$985 - for liability training for seasonal officers; $495 for sound meter training of seasonal officers; $1200 for general training at DE State Fire School
; $985 for Active Shoorter Training (4 hours - FT officers)
</t>
        </r>
      </text>
    </comment>
    <comment ref="Y202" authorId="1" shapeId="0" xr:uid="{677AAC45-41B0-4932-AC9A-513C4E9A6B40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$985 - for liability training for seasonal officers; $495 for sound meter training of seasonal officers; $1200 for general training at DE State Fire School
; $985 for Active Shoorter Training (4 hours - FT officers); De-Escalation Training - $1,200.   03/07/2020 - DM request $7-8K; use $7,500</t>
        </r>
      </text>
    </comment>
    <comment ref="Y212" authorId="1" shapeId="0" xr:uid="{44DD5A01-BF0B-49FC-99A3-A40377C0E544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03/07/2020 - Commissioner Cooke requested 20 hours per week summer help = 20 hours x 18 weeks x $15.00 per hour = $5,400.  Remove $5,400 as not required.</t>
        </r>
      </text>
    </comment>
    <comment ref="Y228" authorId="1" shapeId="0" xr:uid="{339E3FB1-0912-458E-8329-5D861BD08375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This was formerly a worker's comp charge line.  </t>
        </r>
      </text>
    </comment>
    <comment ref="Y237" authorId="1" shapeId="0" xr:uid="{1C413B41-AAE5-4934-B724-EEAFF5F9C60C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Est. Wages:  $74,519 plus additional straight pay ($1,470) = $75,989; Use 10% addiitional overtime ($7,599) = $83,588.</t>
        </r>
      </text>
    </comment>
    <comment ref="G244" authorId="2" shapeId="0" xr:uid="{45CA3BB8-618E-4BBF-9D45-F1FFB1428152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5,600 manhours from 04/01/18-10/15/18
</t>
        </r>
      </text>
    </comment>
    <comment ref="Y245" authorId="1" shapeId="0" xr:uid="{49771D75-420F-44CB-B7BA-F934B6299D31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Est. 6,000 hours @ $13.75 per hour = $82,500.  FY-20 rates were $12.50 - $13.50 per hour.</t>
        </r>
      </text>
    </comment>
    <comment ref="W248" authorId="2" shapeId="0" xr:uid="{A80DFF55-0AF7-49D7-816A-4E1D35E265B7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W/C = $0.79 per 100.</t>
        </r>
      </text>
    </comment>
    <comment ref="W251" authorId="2" shapeId="0" xr:uid="{36BB54AD-F3E8-49AA-A3C2-4EF04D4F8739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Internet: $1,700; Phone; $600; Electric; $5,000; Cell Phone (Part-Tme Workers); $4,000; Supervisor's Cell 
Phone; $900; W&amp;S: $800;</t>
        </r>
      </text>
    </comment>
    <comment ref="U252" authorId="0" shapeId="0" xr:uid="{35C13BFD-8D85-48E5-A1FE-FD9A6BCD31BA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Dept cleans offices themselves - does not like cleaning company</t>
        </r>
      </text>
    </comment>
    <comment ref="Y252" authorId="1" shapeId="0" xr:uid="{E25F2B46-27F9-46A1-ADDE-7CA42DC16404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Dept cleans offices themselves.  Does not want to use cleaning company</t>
        </r>
      </text>
    </comment>
    <comment ref="U262" authorId="0" shapeId="0" xr:uid="{99326121-AEDF-49AE-B2CD-A320226FBCB0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Department is purchasing stamps even though being allocated from TH postage charges</t>
        </r>
      </text>
    </comment>
    <comment ref="U263" authorId="0" shapeId="0" xr:uid="{7F4D820E-085A-464D-BB56-61A2BDAFE78F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Been Verified - Just added in January - hit credit card if February</t>
        </r>
      </text>
    </comment>
    <comment ref="W264" authorId="2" shapeId="0" xr:uid="{3A0BADD7-DE7A-4A94-80CB-A2813A0B027C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Property Insurance charged to Town Hall; W/C moved to personnel section
</t>
        </r>
      </text>
    </comment>
    <comment ref="U266" authorId="0" shapeId="0" xr:uid="{222E3B85-E5DE-4119-87D9-5E8F854C6F75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Supervisor weeklong trip to conference included in this total</t>
        </r>
      </text>
    </comment>
    <comment ref="W268" authorId="2" shapeId="0" xr:uid="{197471C1-D53F-418E-84FB-E3E14ED06297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Buddy Punch: $900; </t>
        </r>
      </text>
    </comment>
    <comment ref="W296" authorId="2" shapeId="0" xr:uid="{0725AEA5-8857-4E91-98D1-E4339F4FFFD2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$53,488 staff plus $5,000 for bailffs</t>
        </r>
      </text>
    </comment>
    <comment ref="Y296" authorId="1" shapeId="0" xr:uid="{17434122-4234-43F9-B27E-0298380FC6BE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$70,500 less Sunday Court ($3,575) = $66,925.  No Increase for the Judges.  03/07/2020 - Use $71,925 Less Sunday Court ($3,575) = $68,350</t>
        </r>
      </text>
    </comment>
    <comment ref="U297" authorId="0" shapeId="0" xr:uid="{DED1C196-F412-4DE5-8E4E-04C1DADDBE98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This account is not being used</t>
        </r>
      </text>
    </comment>
    <comment ref="Y303" authorId="2" shapeId="0" xr:uid="{C17C84E8-1642-4D31-BBF8-BCD0228D7DF0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Est. = $100.00 per month for 12 months.</t>
        </r>
      </text>
    </comment>
    <comment ref="U305" authorId="0" shapeId="0" xr:uid="{2A080B0A-7A8B-467C-AC18-A911284C54A9}">
      <text>
        <r>
          <rPr>
            <b/>
            <sz val="9"/>
            <color indexed="81"/>
            <rFont val="Tahoma"/>
            <family val="2"/>
          </rPr>
          <t>Sheena Gossett:</t>
        </r>
        <r>
          <rPr>
            <sz val="9"/>
            <color indexed="81"/>
            <rFont val="Tahoma"/>
            <family val="2"/>
          </rPr>
          <t xml:space="preserve">
No insurance charged to this department outside of WC</t>
        </r>
      </text>
    </comment>
    <comment ref="Y314" authorId="1" shapeId="0" xr:uid="{984C2955-83CA-48F2-B0B9-DF7351E8312B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4.62% increase includes Todd's wage recommendation and bay beach lifeguard hours.</t>
        </r>
      </text>
    </comment>
    <comment ref="Y318" authorId="1" shapeId="0" xr:uid="{1A5A2F08-11C7-4739-BDD0-502E4889AAAD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$6.24 per $100.</t>
        </r>
      </text>
    </comment>
    <comment ref="W321" authorId="2" shapeId="0" xr:uid="{907640D4-4557-49BE-ADE4-02617CF9E390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W/S: $1,300; Electric: $3,000; Internet (office): $1,600.  Internet (front of building) $1,500.</t>
        </r>
      </text>
    </comment>
    <comment ref="Y321" authorId="2" shapeId="0" xr:uid="{08694ED7-1058-44D3-9846-00F5F6AFF9FE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W/S: $1,300; Electric: $3,000; Internet (office): $1,600.  Internet (front of building) $1,500.  Telephone - $200.</t>
        </r>
      </text>
    </comment>
    <comment ref="W332" authorId="2" shapeId="0" xr:uid="{B54CB59D-BC91-4CA5-907E-C2E549B93881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Flood Insurance: $984 (2/01/2019 - 2/01/2020)
</t>
        </r>
      </text>
    </comment>
    <comment ref="Y332" authorId="2" shapeId="0" xr:uid="{6A88CEE3-2DD5-41F8-B518-19F744F9C436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Flood Insurance: $986 (2/01/2020 - 2/01/2021)
</t>
        </r>
      </text>
    </comment>
    <comment ref="W334" authorId="2" shapeId="0" xr:uid="{0C883AE1-D30A-403C-B602-04CA9A6852AA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Dues &amp; Publicaitons: $425.00; Profess. Fees: $460; Office: $500; Misc.: $100; First Aid Supplies &amp; equip; $600.  $5,000 added for rain gear by Town Manager on 02/26/19.</t>
        </r>
      </text>
    </comment>
    <comment ref="Y334" authorId="1" shapeId="0" xr:uid="{BD9D32AE-1BF2-4FD7-B791-2A695F23871C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Dues &amp; Publicaitons: $425.00; Profess. Fees: $480; Office: $500; Misc.: $100; First Aid Supplies &amp; equip; $600; Postage $150.  Misc. Rain Gear - $500.</t>
        </r>
      </text>
    </comment>
    <comment ref="W337" authorId="2" shapeId="0" xr:uid="{76B256EE-2062-4040-AD45-BAC026C36CBA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Expenses equal = donations for Beach Patrol, Junior Lifeguards &amp; Beach Patrol Competition - $10,000</t>
        </r>
      </text>
    </comment>
    <comment ref="Y337" authorId="1" shapeId="0" xr:uid="{984EC79E-C26A-4527-AACE-5ABDE607EC48}">
      <text>
        <r>
          <rPr>
            <b/>
            <sz val="9"/>
            <color indexed="81"/>
            <rFont val="Tahoma"/>
            <family val="2"/>
          </rPr>
          <t>Scott Koenig:</t>
        </r>
        <r>
          <rPr>
            <sz val="9"/>
            <color indexed="81"/>
            <rFont val="Tahoma"/>
            <family val="2"/>
          </rPr>
          <t xml:space="preserve">
Expenses equal = donations for Beach Patrol, Junior Lifeguards &amp; Beach Patrol 
Competition - $10,000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skoenig</author>
  </authors>
  <commentList>
    <comment ref="G7" authorId="0" shapeId="0" xr:uid="{097ED193-FD7D-4C17-A561-D27F22B44A66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Range discussed at the B&amp;F Committee workshop on 02/08/2019 was $630K - $650K - $675K</t>
        </r>
      </text>
    </comment>
    <comment ref="G8" authorId="0" shapeId="0" xr:uid="{8551F146-97F5-40E8-B439-700B390EA7D8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Range discussed at the B&amp;F Committee workshop on 02/08/2019 was $510K - $520K. Use $512.5K (0.005%) increase.
</t>
        </r>
      </text>
    </comment>
    <comment ref="G34" authorId="0" shapeId="0" xr:uid="{237E9D91-D822-4864-B96B-3AF25E6324E3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Concerns raised about this revenue stream at the B&amp;F Workshop.</t>
        </r>
      </text>
    </comment>
    <comment ref="G36" authorId="0" shapeId="0" xr:uid="{162F5136-6DC8-4EC7-AA05-E8455DE057E8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Revised upward to $1,500 per email from 03-28-2019</t>
        </r>
      </text>
    </comment>
    <comment ref="G40" authorId="0" shapeId="0" xr:uid="{0352609F-1FB2-491C-867B-006C9812A87B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Reduced from $20,000 to $15,000 on 03/29/2019 per email.</t>
        </r>
      </text>
    </comment>
    <comment ref="G48" authorId="0" shapeId="0" xr:uid="{4E51D310-C42F-4A09-BFE5-15EC7E064324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Increase from $1,500 to $3,000 on 03/29/2019 per email.</t>
        </r>
      </text>
    </comment>
    <comment ref="G50" authorId="0" shapeId="0" xr:uid="{F55F7E04-8575-4EDC-B74E-139EAA3F00E4}">
      <text>
        <r>
          <rPr>
            <b/>
            <sz val="9"/>
            <color indexed="81"/>
            <rFont val="Tahoma"/>
            <family val="2"/>
          </rPr>
          <t>skoenig
02/20/19: Estimated Net Annualized Interest Earning with Fulton are $28,289.  No history at this level; so use $20,000.</t>
        </r>
      </text>
    </comment>
    <comment ref="G58" authorId="0" shapeId="0" xr:uid="{2FA09544-045E-4F54-9BEB-66DC05A260D7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Verizon COW - Summer Lease Payment:  $12,500.</t>
        </r>
      </text>
    </comment>
    <comment ref="G67" authorId="0" shapeId="0" xr:uid="{CBF0A03D-1039-433E-8441-923A763A4089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$25K revised to $0 by Town Manager.  </t>
        </r>
      </text>
    </comment>
    <comment ref="G87" authorId="0" shapeId="0" xr:uid="{46B1A0F6-4A36-4FBE-84C4-61C6AB78E36C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Potentiallly as low as $22,000 per email from Sheena and Fulton Bank.</t>
        </r>
      </text>
    </comment>
    <comment ref="G92" authorId="0" shapeId="0" xr:uid="{69032259-9FD3-4B3E-9A6F-8616010B416F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Reduced from $8,000 to $6,000 on 03/29/2019 per email.</t>
        </r>
      </text>
    </comment>
    <comment ref="G93" authorId="0" shapeId="0" xr:uid="{A1EE5800-BFA3-4849-9D06-65DEB741F7CE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Reduced from $5,000 to $3,000 on 03/29/2019 per email.</t>
        </r>
      </text>
    </comment>
    <comment ref="G94" authorId="0" shapeId="0" xr:uid="{3B391D05-EBF8-45FE-BB5D-4CC5ED6ECCDC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1st Draft: $72,000; 2nd Draft: Target; $5,000 per month.</t>
        </r>
      </text>
    </comment>
    <comment ref="G95" authorId="0" shapeId="0" xr:uid="{97928B17-B3A3-4585-BECB-F2A72E0A38EA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Target expense is $3,500 per month.</t>
        </r>
      </text>
    </comment>
    <comment ref="G98" authorId="0" shapeId="0" xr:uid="{FA06C4E0-54E4-443D-B54E-CB0D2B1DFB15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Reduced from $5,000 to $3,000 on 03/29/2019 per email.</t>
        </r>
      </text>
    </comment>
    <comment ref="G99" authorId="0" shapeId="0" xr:uid="{6AFC5208-BAA5-4AF7-9CB4-2FB02458A335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Edmunds - Software Maintenance - $6,300; Edmunds - Hardware Maiintenance - $662</t>
        </r>
      </text>
    </comment>
    <comment ref="G102" authorId="0" shapeId="0" xr:uid="{D1A3F807-3A75-479B-8E34-202150791984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De League of Local Govts: $800.00; RBDB Chamber: $235.00; ACT: $3,650; SCAT: $250</t>
        </r>
      </text>
    </comment>
    <comment ref="G110" authorId="0" shapeId="0" xr:uid="{337516DC-A749-4333-A58E-BF670CA0BD33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Commissioners voted 3-2 to reject loan payoff on January 21, 2019
</t>
        </r>
      </text>
    </comment>
    <comment ref="G111" authorId="0" shapeId="0" xr:uid="{8C52BD7E-995F-41C7-B436-095564B49C9B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Sposato Landscaping: $2,305.83 x 12 months = $27,670.</t>
        </r>
      </text>
    </comment>
    <comment ref="G112" authorId="0" shapeId="0" xr:uid="{1E324198-05E1-40E7-8759-9CCDF79B0560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Waste Industries Annual Contract - $15,729.
Town Hall Roll Offs - Spring Clean Up Week - $3,500</t>
        </r>
      </text>
    </comment>
    <comment ref="G131" authorId="0" shapeId="0" xr:uid="{DDE5EA56-073A-42C5-A060-AB3B61DD3CF4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12.5 hoiurs per week  X 16 weeks X $12.00 per hour = $2,400.  Movies &amp; Bonfire:  8 weeks x 6 hours per week X $12.00 / hour = $576
use $3,100.</t>
        </r>
      </text>
    </comment>
    <comment ref="G146" authorId="0" shapeId="0" xr:uid="{0E37478B-BE9E-44AE-A513-B5C03D0AFDAB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Payroll Processing - $5,000 Est.; Monthly accounting fees ($2,500); $27,675 for J. Dedes
</t>
        </r>
      </text>
    </comment>
    <comment ref="G147" authorId="0" shapeId="0" xr:uid="{B37EF336-966D-4E3B-881C-084D43366EB9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Public Officials Liability Insurance: $57,000. 50% of Town Hall Flood Insurance: $1,728; General Liability: 36% of $54,000 + $19,440.</t>
        </r>
      </text>
    </comment>
    <comment ref="G180" authorId="0" shapeId="0" xr:uid="{3B6F56DA-A7D2-40FE-864E-C61AB0CADCDE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Cell Phones: $7,500 per year; All other utilities: $16,500.</t>
        </r>
      </text>
    </comment>
    <comment ref="G186" authorId="0" shapeId="0" xr:uid="{A24F0F3C-4256-470A-BFE8-C9B847514468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Need to monitor closely.
</t>
        </r>
      </text>
    </comment>
    <comment ref="G190" authorId="0" shapeId="0" xr:uid="{2F6DA46F-938D-4263-9B2B-528B035CC194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Assumes we get rid of Police Postage Meter, saving $600 per year for the meter cost.</t>
        </r>
      </text>
    </comment>
    <comment ref="G191" authorId="0" shapeId="0" xr:uid="{3E95349D-5DD6-4419-9A60-F1845E939924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Lexipol subscription - $6,500.  Organizatoinal Study - $7,450 (04.07.2019) &amp; $7,450 (05.24.2019) </t>
        </r>
      </text>
    </comment>
    <comment ref="G193" authorId="0" shapeId="0" xr:uid="{2C737952-31D1-4E5F-AF2A-BF68D0B9BFCE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Law Enforcement Liability Insurance: $50,000 (7/1/19); 50% of Flood Insurance: $1,728; 64% of General Liability &amp; Property: $34,560.</t>
        </r>
      </text>
    </comment>
    <comment ref="G195" authorId="0" shapeId="0" xr:uid="{FB7F1979-814A-4269-889C-B82076FE3D29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$985 - for liability training for seasonal officers; $495 for sound meter training of seasonal officers; $1200 for general training at DE State Fire School
; $985 for Active Shoorter Training (4 hours - FT officers)
</t>
        </r>
      </text>
    </comment>
    <comment ref="F234" authorId="0" shapeId="0" xr:uid="{5157B059-C2CF-4BCD-9CCF-06F3C8D25B52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5,600 manhours from 04/01/18-10/15/18
</t>
        </r>
      </text>
    </comment>
    <comment ref="G238" authorId="0" shapeId="0" xr:uid="{EA26BF21-4202-4C7F-A42F-889966E14581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W/C = $0.79 per 100.</t>
        </r>
      </text>
    </comment>
    <comment ref="G241" authorId="0" shapeId="0" xr:uid="{C2C75BB6-0A0F-4936-9969-991ED9A23617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Internet: $1,700; Phone; $600; Electric; $5,000; Cell Phone (Part-Tme Workers); $4,000; Merle's Phone; $900; W&amp;S: $800;</t>
        </r>
      </text>
    </comment>
    <comment ref="G253" authorId="0" shapeId="0" xr:uid="{2B053319-FED9-4A5A-8080-E8B47596AFE6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Property Insurance charged to Town Hall; W/C moved to personnel section
</t>
        </r>
      </text>
    </comment>
    <comment ref="G257" authorId="0" shapeId="0" xr:uid="{D4D44D57-45AC-45AD-9EA2-8ECC589B13DD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Buddy Punch: $900; </t>
        </r>
      </text>
    </comment>
    <comment ref="G282" authorId="0" shapeId="0" xr:uid="{14DD2D5E-6BA4-41C4-ADB5-9ABA833CFFE2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$53,488 staff plus $5,000 for bailffs</t>
        </r>
      </text>
    </comment>
    <comment ref="G306" authorId="0" shapeId="0" xr:uid="{899C939A-950A-4C4A-820F-EC628F018C8A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W/S: $1,300; Electric: $3,000; Internet (office): $1,600.  Internet (front of building) $1,500.</t>
        </r>
      </text>
    </comment>
    <comment ref="G317" authorId="0" shapeId="0" xr:uid="{1AFBC12F-753B-4B1C-AA8A-C83C798138D3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Flood Insurance: $984 (2/01/2019 - 2/01/2020)
</t>
        </r>
      </text>
    </comment>
    <comment ref="G319" authorId="0" shapeId="0" xr:uid="{948A4233-6AA9-4E6E-AD95-1573DE1BBD05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Dues &amp; Publicaitons: $425.00; Profess. Fees: $460; Office: $500; Misc.: $100; First Aid Supplies &amp; equip; $600.  $5,000 added for rain gear by Town Manager on 02/26/19.</t>
        </r>
      </text>
    </comment>
    <comment ref="G322" authorId="0" shapeId="0" xr:uid="{D266AFEC-C2CC-40A4-BD63-BB8F0BBA5CC3}">
      <text>
        <r>
          <rPr>
            <b/>
            <sz val="9"/>
            <color indexed="81"/>
            <rFont val="Tahoma"/>
            <family val="2"/>
          </rPr>
          <t>skoenig:</t>
        </r>
        <r>
          <rPr>
            <sz val="9"/>
            <color indexed="81"/>
            <rFont val="Tahoma"/>
            <family val="2"/>
          </rPr>
          <t xml:space="preserve">
Expenses equal = donations for Beach Patrol, Junior Lifeguards &amp; Beach Patrol Competition - $10,000</t>
        </r>
      </text>
    </comment>
  </commentList>
</comments>
</file>

<file path=xl/sharedStrings.xml><?xml version="1.0" encoding="utf-8"?>
<sst xmlns="http://schemas.openxmlformats.org/spreadsheetml/2006/main" count="728" uniqueCount="399">
  <si>
    <t>Ordinary Income/Expense</t>
  </si>
  <si>
    <t>Income</t>
  </si>
  <si>
    <t>4000000 · Regular Income</t>
  </si>
  <si>
    <t>400000A · Annual</t>
  </si>
  <si>
    <t>4000100 · Transfer Tax</t>
  </si>
  <si>
    <t>4000200 · Accommodations Tax</t>
  </si>
  <si>
    <t>4000300 · Cable TV Franchise</t>
  </si>
  <si>
    <t>4000400 · Beach Concession Contract</t>
  </si>
  <si>
    <t>Total 400000A · Annual</t>
  </si>
  <si>
    <t>Total 4000000 · Regular Income</t>
  </si>
  <si>
    <t>4010000 · Permits</t>
  </si>
  <si>
    <t>401000A · Licenses</t>
  </si>
  <si>
    <t>4010050 · Business License Fines</t>
  </si>
  <si>
    <t>4010100 · Rental License</t>
  </si>
  <si>
    <t>4010200 · Commercial Rental License</t>
  </si>
  <si>
    <t>4010300 · Commerical Business</t>
  </si>
  <si>
    <t>4010400 · Real Estate Agents</t>
  </si>
  <si>
    <t>Total 401000A · Licenses</t>
  </si>
  <si>
    <t>401000B · Parking</t>
  </si>
  <si>
    <t>4010500 · Seasonal</t>
  </si>
  <si>
    <t>4010600 · Daily</t>
  </si>
  <si>
    <t>4010700 · Parking Meters</t>
  </si>
  <si>
    <t>Total 401000B · Parking</t>
  </si>
  <si>
    <t>401000C · Other</t>
  </si>
  <si>
    <t>4010800 · Building</t>
  </si>
  <si>
    <t>4010900 · Beach Fire</t>
  </si>
  <si>
    <t>4011100 · Dog Licenses</t>
  </si>
  <si>
    <t>Total 401000C · Other</t>
  </si>
  <si>
    <t>Total 4010000 · Permits</t>
  </si>
  <si>
    <t>4020000 · Fines</t>
  </si>
  <si>
    <t>402000A · Parking</t>
  </si>
  <si>
    <t>4020100 · Parking Tickets</t>
  </si>
  <si>
    <t>4020150 · Delinquent Parking Tickets</t>
  </si>
  <si>
    <t>4020200 · Vehicle Booting Fee</t>
  </si>
  <si>
    <t>Total 402000A · Parking</t>
  </si>
  <si>
    <t>402000B · Town</t>
  </si>
  <si>
    <t>4020300 · Ordinance Fines &amp; Court Costs</t>
  </si>
  <si>
    <t>4020400 · Traffic Fines</t>
  </si>
  <si>
    <t>4020500 · Capias / Contempt Charges</t>
  </si>
  <si>
    <t>4020600 · Delinquent Civil Summons</t>
  </si>
  <si>
    <t>4020800 · Ordinance Fines - Other Courts</t>
  </si>
  <si>
    <t>Total 402000B · Town</t>
  </si>
  <si>
    <t>Total 4020000 · Fines</t>
  </si>
  <si>
    <t>4040000 · Misc / Other</t>
  </si>
  <si>
    <t>4040100 · Public Hearing Fees</t>
  </si>
  <si>
    <t>4040200 · Gain / Loss Sale of Equipment</t>
  </si>
  <si>
    <t>4040300 · Interest Income</t>
  </si>
  <si>
    <t>4040400 · Copies</t>
  </si>
  <si>
    <t>4040550 · Marketing Donations</t>
  </si>
  <si>
    <t>4040600 · Police Reports</t>
  </si>
  <si>
    <t>4040800 · Pension State Funding</t>
  </si>
  <si>
    <t>4040900 · Misc</t>
  </si>
  <si>
    <t>4041000 · Town Hall Other</t>
  </si>
  <si>
    <t>Total 4040000 · Misc / Other</t>
  </si>
  <si>
    <t>4050000 · Investments</t>
  </si>
  <si>
    <t>4050200 · Unrealized Gain / Loss</t>
  </si>
  <si>
    <t>4050300 · Investment Fees</t>
  </si>
  <si>
    <t>Total 4050000 · Investments</t>
  </si>
  <si>
    <t>4060000 · Grants</t>
  </si>
  <si>
    <t>4060300 · Municipal Street Aid</t>
  </si>
  <si>
    <t>Total 4060000 · Grants</t>
  </si>
  <si>
    <t>4070000 · Restricted Income</t>
  </si>
  <si>
    <t>Total 4070000 · Restricted Income</t>
  </si>
  <si>
    <t>4080000 · Dewey Beach Enterprises (DBE)</t>
  </si>
  <si>
    <t>4080200 · Annual in Perpetuity</t>
  </si>
  <si>
    <t>Total 4080000 · Dewey Beach Enterprises (DBE)</t>
  </si>
  <si>
    <t>Total Income</t>
  </si>
  <si>
    <t>Gross Profit</t>
  </si>
  <si>
    <t>6010000 · Town Expenses</t>
  </si>
  <si>
    <t>601000A · Administrative</t>
  </si>
  <si>
    <t>6010100 · Bank &amp; Credit Card Fees</t>
  </si>
  <si>
    <t>6010150 · Bank Fees - Transfer Tax</t>
  </si>
  <si>
    <t>6010175 · Collection Agency Fees</t>
  </si>
  <si>
    <t>6010200 · Commissioner &amp; Committee Exp</t>
  </si>
  <si>
    <t>6010250 · Election Expenses</t>
  </si>
  <si>
    <t>6010300 · Donations</t>
  </si>
  <si>
    <t>6010400 · Code Update</t>
  </si>
  <si>
    <t>6010500 · Legal Fees - Regular</t>
  </si>
  <si>
    <t>6010550 · Legal Fees - Lawsuit</t>
  </si>
  <si>
    <t>6010600 · Audit Fees</t>
  </si>
  <si>
    <t>6010800 · Beach &amp; Marketing Events</t>
  </si>
  <si>
    <t>6010900 · IT</t>
  </si>
  <si>
    <t>6011000 · Equipment / Asset Purchase</t>
  </si>
  <si>
    <t>6011100 · Employee Bonuses</t>
  </si>
  <si>
    <t>6011200 · Dues / Publications</t>
  </si>
  <si>
    <t>6011300 · Legal Ads</t>
  </si>
  <si>
    <t>6011400 · Extraordinary DBE Expense</t>
  </si>
  <si>
    <t>601000A · Administrative - Other</t>
  </si>
  <si>
    <t>Total 601000A · Administrative</t>
  </si>
  <si>
    <t>601000B · Operating</t>
  </si>
  <si>
    <t>6012000 · Bayard Avenue Operating</t>
  </si>
  <si>
    <t>6012100 · Beautification</t>
  </si>
  <si>
    <t>6012200 · Trash</t>
  </si>
  <si>
    <t>6012300 · Street Signs / Lights</t>
  </si>
  <si>
    <t>6012400 · Parking Meter / Permit Expenses</t>
  </si>
  <si>
    <t>6012700 · Town Hall Property Expenses</t>
  </si>
  <si>
    <t>Total 601000B · Operating</t>
  </si>
  <si>
    <t>Total 6010000 · Town Expenses</t>
  </si>
  <si>
    <t>6020000 · Administration</t>
  </si>
  <si>
    <t>602000A · Employee Expenses</t>
  </si>
  <si>
    <t>6020100 · Salary &amp; Wages</t>
  </si>
  <si>
    <t>6020110 · Payroll Taxes</t>
  </si>
  <si>
    <t>6020130 · Employee Benefits</t>
  </si>
  <si>
    <t>6020140 · Pension Plan</t>
  </si>
  <si>
    <t>Total 602000A · Employee Expenses</t>
  </si>
  <si>
    <t>602000B · Seasonal Employee Expenses</t>
  </si>
  <si>
    <t>6020300 · Salary &amp; Wages</t>
  </si>
  <si>
    <t>6020310 · Payroll Taxes</t>
  </si>
  <si>
    <t>Total 602000B · Seasonal Employee Expenses</t>
  </si>
  <si>
    <t>602000C · Building Expenses</t>
  </si>
  <si>
    <t>6020500 · Utilities</t>
  </si>
  <si>
    <t>6020510 · Cleaning</t>
  </si>
  <si>
    <t>6020520 · Pest Control</t>
  </si>
  <si>
    <t>6020530 · Building Maintenance</t>
  </si>
  <si>
    <t>Total 602000C · Building Expenses</t>
  </si>
  <si>
    <t>602000D · Vehicles</t>
  </si>
  <si>
    <t>6020605 · Mileage Reimbursement</t>
  </si>
  <si>
    <t>Total 602000D · Vehicles</t>
  </si>
  <si>
    <t>602000E · Operating</t>
  </si>
  <si>
    <t>6021000 · Postage</t>
  </si>
  <si>
    <t>6021100 · Professional Fees</t>
  </si>
  <si>
    <t>6021200 · Insurance</t>
  </si>
  <si>
    <t>6021300 · Dues &amp; Publications</t>
  </si>
  <si>
    <t>6021500 · Supplies</t>
  </si>
  <si>
    <t>6021600 · Printing</t>
  </si>
  <si>
    <t>6021700 · Misc</t>
  </si>
  <si>
    <t>Total 602000E · Operating</t>
  </si>
  <si>
    <t>Total 6020000 · Administration</t>
  </si>
  <si>
    <t>6030000 · Police</t>
  </si>
  <si>
    <t>603000A · Employee Expenses</t>
  </si>
  <si>
    <t>6030100 · Salary &amp; Wages</t>
  </si>
  <si>
    <t>6030110 · Payroll Taxes</t>
  </si>
  <si>
    <t>6030130 · Employee Benefits</t>
  </si>
  <si>
    <t>6030140 · Pension Plan</t>
  </si>
  <si>
    <t>6030150 · Uniforms</t>
  </si>
  <si>
    <t>Total 603000A · Employee Expenses</t>
  </si>
  <si>
    <t>603000B · Admin Employee Expenses</t>
  </si>
  <si>
    <t>6030210 · Payroll Taxes</t>
  </si>
  <si>
    <t>6030230 · Employee Benefits</t>
  </si>
  <si>
    <t>6030240 · Pension Plan</t>
  </si>
  <si>
    <t>Total 603000B · Admin Employee Expenses</t>
  </si>
  <si>
    <t>6030310 · Payroll Taxes</t>
  </si>
  <si>
    <t>6030350 · Uniforms</t>
  </si>
  <si>
    <t>Total 603000C · Seasonal Employee Expenses</t>
  </si>
  <si>
    <t>603000D · Building Expenses</t>
  </si>
  <si>
    <t>6030500 · Utilities</t>
  </si>
  <si>
    <t>6030510 · Cleaning</t>
  </si>
  <si>
    <t>6030520 · Pest Control</t>
  </si>
  <si>
    <t>6030530 · Building Maintenance</t>
  </si>
  <si>
    <t>Total 603000D · Building Expenses</t>
  </si>
  <si>
    <t>603000E · Vehicles</t>
  </si>
  <si>
    <t>6030600 · Gas</t>
  </si>
  <si>
    <t>6030610 · Auto Maintenance &amp; Repairs</t>
  </si>
  <si>
    <t>Total 603000E · Vehicles</t>
  </si>
  <si>
    <t>603000F · Operating</t>
  </si>
  <si>
    <t>6031000 · Postage</t>
  </si>
  <si>
    <t>6031100 · Professional Fees</t>
  </si>
  <si>
    <t>6031150 · Legal Ads</t>
  </si>
  <si>
    <t>6031200 · Insurance</t>
  </si>
  <si>
    <t>6031300 · Dues &amp; Publications</t>
  </si>
  <si>
    <t>6031400 · Training</t>
  </si>
  <si>
    <t>6031500 · Supplies</t>
  </si>
  <si>
    <t>6031700 · Misc</t>
  </si>
  <si>
    <t>6031800 · Equipment Maintenance</t>
  </si>
  <si>
    <t>6031900 · Drug Testing</t>
  </si>
  <si>
    <t>Total 603000F · Operating</t>
  </si>
  <si>
    <t>Total 6030000 · Police</t>
  </si>
  <si>
    <t>6040000 · Maintenance</t>
  </si>
  <si>
    <t>604000A · Employee Expenses</t>
  </si>
  <si>
    <t>6040100 · Salary &amp; Wages</t>
  </si>
  <si>
    <t>6040110 · Payroll Taxes</t>
  </si>
  <si>
    <t>6040130 · Employee Benefits</t>
  </si>
  <si>
    <t>6040140 · Pension Plan</t>
  </si>
  <si>
    <t>Total 604000A · Employee Expenses</t>
  </si>
  <si>
    <t>604000B · Building Expenses</t>
  </si>
  <si>
    <t>6040500 · Utilities</t>
  </si>
  <si>
    <t>6040530 · Building Maintenance</t>
  </si>
  <si>
    <t>Total 604000B · Building Expenses</t>
  </si>
  <si>
    <t>604000C · Vehicles</t>
  </si>
  <si>
    <t>6040600 · Gas</t>
  </si>
  <si>
    <t>6040610 · Auto Maintenance &amp; Repairs</t>
  </si>
  <si>
    <t>Total 604000C · Vehicles</t>
  </si>
  <si>
    <t>604000D · Operating</t>
  </si>
  <si>
    <t>6041200 · Insurance</t>
  </si>
  <si>
    <t>6041500 · Supplies</t>
  </si>
  <si>
    <t>6041700 · Misc</t>
  </si>
  <si>
    <t>Total 604000D · Operating</t>
  </si>
  <si>
    <t>Total 6040000 · Maintenance</t>
  </si>
  <si>
    <t>6050000 · Code Enforcement</t>
  </si>
  <si>
    <t>605000A · Employee Expenses</t>
  </si>
  <si>
    <t>6050100 · Salary &amp; Wages</t>
  </si>
  <si>
    <t>6050110 · Payroll Taxes</t>
  </si>
  <si>
    <t>6050130 · Employee Benefits</t>
  </si>
  <si>
    <t>6050140 · Pension Plan</t>
  </si>
  <si>
    <t>Total 605000A · Employee Expenses</t>
  </si>
  <si>
    <t>6050300 · Salary &amp; Wages</t>
  </si>
  <si>
    <t>6050310 · Payroll Taxes</t>
  </si>
  <si>
    <t>6050350 · Uniforms</t>
  </si>
  <si>
    <t>Total 605000B · Seasonal Employee Expenses</t>
  </si>
  <si>
    <t>605000C · Building Expenses</t>
  </si>
  <si>
    <t>6050500 · Utilities</t>
  </si>
  <si>
    <t>6050510 · Cleaning</t>
  </si>
  <si>
    <t>6050520 · Pest Control</t>
  </si>
  <si>
    <t>6050530 · Building Maintenance</t>
  </si>
  <si>
    <t>Total 605000C · Building Expenses</t>
  </si>
  <si>
    <t>605000D · Vehicles</t>
  </si>
  <si>
    <t>6050600 · Gas</t>
  </si>
  <si>
    <t>6050605 · Mileage Reimbursement</t>
  </si>
  <si>
    <t>6050610 · Auto Maintenance &amp; Repair</t>
  </si>
  <si>
    <t>Total 605000D · Vehicles</t>
  </si>
  <si>
    <t>605000E · Operating</t>
  </si>
  <si>
    <t>6051000 · Postage</t>
  </si>
  <si>
    <t>6051200 · Insurance</t>
  </si>
  <si>
    <t>6051400 · Training</t>
  </si>
  <si>
    <t>6051500 · Supplies</t>
  </si>
  <si>
    <t>6051700 · Misc</t>
  </si>
  <si>
    <t>6051900 · Equipment Maintenance</t>
  </si>
  <si>
    <t>Total 605000E · Operating</t>
  </si>
  <si>
    <t>Total 6050000 · Code Enforcement</t>
  </si>
  <si>
    <t>6060000 · Building Inspector</t>
  </si>
  <si>
    <t>606000A · Employee Expenses</t>
  </si>
  <si>
    <t>6060100 · Salary &amp; Wages</t>
  </si>
  <si>
    <t>6060110 · Payroll Taxes</t>
  </si>
  <si>
    <t>6060130 · Employee Benefits</t>
  </si>
  <si>
    <t>Total 606000A · Employee Expenses</t>
  </si>
  <si>
    <t>606000B · Vehicles</t>
  </si>
  <si>
    <t>6060600 · Gas</t>
  </si>
  <si>
    <t>Total 606000B · Vehicles</t>
  </si>
  <si>
    <t>606000C · Operating</t>
  </si>
  <si>
    <t>6060500 · Phone</t>
  </si>
  <si>
    <t>6061700 · Misc</t>
  </si>
  <si>
    <t>Total 606000C · Operating</t>
  </si>
  <si>
    <t>Total 6060000 · Building Inspector</t>
  </si>
  <si>
    <t>6070000 · Alderman</t>
  </si>
  <si>
    <t>607000A · Employee Expenses</t>
  </si>
  <si>
    <t>6070110 · Payroll Taxes</t>
  </si>
  <si>
    <t>6070150 · Uniforms</t>
  </si>
  <si>
    <t>Total 607000A · Employee Expenses</t>
  </si>
  <si>
    <t>607000B · Operating</t>
  </si>
  <si>
    <t>6071000 · Postage</t>
  </si>
  <si>
    <t>6071100 · Professional Fees</t>
  </si>
  <si>
    <t>6071200 · Insurance</t>
  </si>
  <si>
    <t>6071500 · Supplies</t>
  </si>
  <si>
    <t>6071700 · Misc</t>
  </si>
  <si>
    <t>Total 607000B · Operating</t>
  </si>
  <si>
    <t>Total 6070000 · Alderman</t>
  </si>
  <si>
    <t>6080000 · Beach Patrol</t>
  </si>
  <si>
    <t>608000A · Employee Expenses</t>
  </si>
  <si>
    <t>6080100 · Salary &amp; Wages</t>
  </si>
  <si>
    <t>6080110 · Payroll Taxes</t>
  </si>
  <si>
    <t>6080130 · Employee Benefits</t>
  </si>
  <si>
    <t>6080150 · Uniforms</t>
  </si>
  <si>
    <t>Total 608000A · Employee Expenses</t>
  </si>
  <si>
    <t>608000B · Building Expenses</t>
  </si>
  <si>
    <t>6080500 · Utilities</t>
  </si>
  <si>
    <t>6080510 · Cleaning</t>
  </si>
  <si>
    <t>6080530 · Building Maintenance</t>
  </si>
  <si>
    <t>Total 608000B · Building Expenses</t>
  </si>
  <si>
    <t>608000C · Vehicles</t>
  </si>
  <si>
    <t>6080600 · Gas</t>
  </si>
  <si>
    <t>Total 608000C · Vehicles</t>
  </si>
  <si>
    <t>608000D · Operating</t>
  </si>
  <si>
    <t>6081000 · Postage</t>
  </si>
  <si>
    <t>6081200 · Insurance</t>
  </si>
  <si>
    <t>6081400 · Training</t>
  </si>
  <si>
    <t>6081600 · Printing</t>
  </si>
  <si>
    <t>6081800 · Donation Purchases</t>
  </si>
  <si>
    <t>6081900 · Equipment Maintenance</t>
  </si>
  <si>
    <t>Total 608000D · Operating</t>
  </si>
  <si>
    <t>Total Expense</t>
  </si>
  <si>
    <t>Net Ordinary Income</t>
  </si>
  <si>
    <t>Net Income</t>
  </si>
  <si>
    <t>Apr '14 - Mar 15</t>
  </si>
  <si>
    <t>Apr '15 - Mar 16</t>
  </si>
  <si>
    <t>Apr '16 - Mar 17</t>
  </si>
  <si>
    <t>Apr '17 - Mar 18</t>
  </si>
  <si>
    <t>Actuals</t>
  </si>
  <si>
    <t>FY 20 Budget</t>
  </si>
  <si>
    <t>4020700 · Traffic Fines - Other Courts</t>
  </si>
  <si>
    <t>4050100 · Investment Income</t>
  </si>
  <si>
    <t>4080300 · DBE Building Permits</t>
  </si>
  <si>
    <t xml:space="preserve"> </t>
  </si>
  <si>
    <t>6012500 · Street Sweeping / Snow Removal</t>
  </si>
  <si>
    <t>6012800 · Storm Water / Street Flooding</t>
  </si>
  <si>
    <t>6080610 · Auto Maintenance &amp; Repair</t>
  </si>
  <si>
    <t>6070105 · Offset Bailiff Salary</t>
  </si>
  <si>
    <t>Historic Average</t>
  </si>
  <si>
    <t>High</t>
  </si>
  <si>
    <t>Low</t>
  </si>
  <si>
    <r>
      <t xml:space="preserve">Total 6080000 · </t>
    </r>
    <r>
      <rPr>
        <b/>
        <sz val="8"/>
        <color rgb="FF323232"/>
        <rFont val="Arial"/>
        <family val="2"/>
      </rPr>
      <t>Beach Patrol</t>
    </r>
  </si>
  <si>
    <t>Expenses</t>
  </si>
  <si>
    <t>6011XXX - Transfer to Restricted Funds (20% Building Permit Fees)</t>
  </si>
  <si>
    <t>6012600 · Municipal Street Aid Expenditures</t>
  </si>
  <si>
    <t>6010700 · Comp Plan / Planning Fees</t>
  </si>
  <si>
    <t>4040500 · Donations</t>
  </si>
  <si>
    <t>4060500 · Community Transportation Funds</t>
  </si>
  <si>
    <t>6021400 · Training</t>
  </si>
  <si>
    <t>6051300 · Dues &amp; Publications</t>
  </si>
  <si>
    <t>6061400 · Training</t>
  </si>
  <si>
    <t>6080550 · Landhold Lease - LSS</t>
  </si>
  <si>
    <t>.</t>
  </si>
  <si>
    <t>6081500 · Supplies (Office, First Aid, &amp; Misc.)</t>
  </si>
  <si>
    <t>6081700 · Misc (Small Equipment)</t>
  </si>
  <si>
    <t xml:space="preserve">6012050 · Bayard Avenue Loan </t>
  </si>
  <si>
    <t>6060160 · Workers Comp Insurance</t>
  </si>
  <si>
    <t>6060160 · Workers Comp insurance</t>
  </si>
  <si>
    <t>6050160 · Workers Comp Insurance</t>
  </si>
  <si>
    <t>6050360 · Workers Comp Insurance</t>
  </si>
  <si>
    <t>6040160 · Workers Comp Insurance</t>
  </si>
  <si>
    <t>6030360 · Workers Comp Insurance</t>
  </si>
  <si>
    <t>6030260 · Workers Comp Insurance</t>
  </si>
  <si>
    <t>6030160 · Workers Comp Insurance</t>
  </si>
  <si>
    <t>6020160 · Workers Comp Insurance</t>
  </si>
  <si>
    <t>4040700 · Police Extra Duty (Paid to the Town)</t>
  </si>
  <si>
    <t>6070100 · Salary &amp; Wages (Aldermen, Clerk &amp; Bailiffs)</t>
  </si>
  <si>
    <t>6061300 · Dues &amp; Publications</t>
  </si>
  <si>
    <t>XXXXXXX - Capital Projects, Studies &amp; Vehicles</t>
  </si>
  <si>
    <t xml:space="preserve">    - Polcie Department Replacement Vehicle (Tahoe)</t>
  </si>
  <si>
    <t xml:space="preserve">    - Silver Lake / Lake Comegys Lake Management Study</t>
  </si>
  <si>
    <t xml:space="preserve">    - Town Hall Replacement - Request for Qualifications</t>
  </si>
  <si>
    <t xml:space="preserve">    - Stormwater Pipe Assessment &amp; Inventory</t>
  </si>
  <si>
    <t xml:space="preserve">    - Install recording equipment on Dispatch Lines &amp; Radio Transmissions</t>
  </si>
  <si>
    <t xml:space="preserve">    - Code Enforcement Vehicle - New Vehicle</t>
  </si>
  <si>
    <t xml:space="preserve">    - Replace DVR for Town Hall / DBPD surveillance system </t>
  </si>
  <si>
    <t xml:space="preserve">    - Replace DVT Enterprise Server for Crime Camera System </t>
  </si>
  <si>
    <t xml:space="preserve">    - Replace Desktop &amp; Laptop Computers to include Windows 10</t>
  </si>
  <si>
    <t xml:space="preserve">    - Town of Dewey Beach Website Upgrade</t>
  </si>
  <si>
    <t xml:space="preserve">6030300 · Salary &amp; Wages </t>
  </si>
  <si>
    <t>4070100 · Beach Patrol (Donations)</t>
  </si>
  <si>
    <t>4080100 · Monthly Toward $300k (Ends July 2021)</t>
  </si>
  <si>
    <t>6030105 · Special Event Payroll (Paid to other jurisdictions)</t>
  </si>
  <si>
    <t>6030200 · Salary &amp; Wages (Includes Part-Time Dispatchers)</t>
  </si>
  <si>
    <t>603000C · Seasonal Employee Expenses (16 Officers &amp; 2 Dispatchers)</t>
  </si>
  <si>
    <t>605000B · Seasonal Employee Expenses (May 1 thru September 30)</t>
  </si>
  <si>
    <t>Total 6080000 · Beach Patrol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</si>
  <si>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</si>
  <si>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</si>
  <si>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</si>
  <si>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</si>
  <si>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</si>
  <si>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</si>
  <si>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</si>
  <si>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</si>
  <si>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</si>
  <si>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</si>
  <si>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</si>
  <si>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</si>
  <si>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</si>
  <si>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Apr '18 - Mar 19</t>
  </si>
  <si>
    <t>FY20 YTD</t>
  </si>
  <si>
    <t>FY 21 Budget</t>
  </si>
  <si>
    <t>FY20 Actual  vs Average</t>
  </si>
  <si>
    <t>FY 20 Actual vs High</t>
  </si>
  <si>
    <t>FY20 Actual  vs Low</t>
  </si>
  <si>
    <t>FY20 Budget  vs Average</t>
  </si>
  <si>
    <t>FY 20 Budget vs High</t>
  </si>
  <si>
    <t>FY20 Budget  vs Low</t>
  </si>
  <si>
    <t>4000150 · Transfer Tax Recoup</t>
  </si>
  <si>
    <t>4070400 · Police Department</t>
  </si>
  <si>
    <t>4070500 · DBE Review Fund</t>
  </si>
  <si>
    <t>6030605 · Mileage Reimbursement</t>
  </si>
  <si>
    <t>6061500 · Supplies</t>
  </si>
  <si>
    <t>6040150 · Uniforms</t>
  </si>
  <si>
    <t>6041800 · Equipment Maintenance</t>
  </si>
  <si>
    <t>6050150 · Uniforms</t>
  </si>
  <si>
    <t>6060140 · Pension Plan</t>
  </si>
  <si>
    <t>6011XXX - Transfer to Self-Committed Funds (3% TT to Comp Plan)</t>
  </si>
  <si>
    <t>6011XXX - Transfer to Self-Committed Funds (5% TT to TT Recoup)</t>
  </si>
  <si>
    <t>6011XXX - Transfer to Self-Committed Funds (5% Daily Seasonal Permits to Signage)</t>
  </si>
  <si>
    <t>6010125 · Bank Fees - Transfer Tax</t>
  </si>
  <si>
    <t>6010150 · Collection Agency Fees</t>
  </si>
  <si>
    <t>6010175 · Investment Fees</t>
  </si>
  <si>
    <t>6061000 · Postage</t>
  </si>
  <si>
    <t>6071300 · Dues &amp; Publications</t>
  </si>
  <si>
    <t xml:space="preserve">    - Stormwater Pipe Assessment &amp; Inventory (Phase 2)</t>
  </si>
  <si>
    <t xml:space="preserve">    - Stormwater Pipe Replacement (Identified in Phase 1 Inventory)</t>
  </si>
  <si>
    <t xml:space="preserve">    - Bayard Avenue Stormwater Pump Station Loan Payment</t>
  </si>
  <si>
    <t xml:space="preserve">    - Misc. Street Paving (Van Dyke Avenue - Dickenson Street Bayside)</t>
  </si>
  <si>
    <t xml:space="preserve">    - Police Department Vehicle Replacement - Tahoe</t>
  </si>
  <si>
    <t xml:space="preserve">    - Gator for Code  Enforcement on the  Beach (Dog Licenses) </t>
  </si>
  <si>
    <t xml:space="preserve">    - Code Enforcement Vehicle (Small SUV or Light PickUp)</t>
  </si>
  <si>
    <t>6012300 · Street Signs / Lights (MSA)</t>
  </si>
  <si>
    <t>6012600 · Municipal Street Aid Expenditures (Other)</t>
  </si>
  <si>
    <t>S&amp;I Funds</t>
  </si>
  <si>
    <t xml:space="preserve">    - Edmonds Finance Super Suite (Initial Training Fee &amp; Maintenance) - Est.</t>
  </si>
  <si>
    <t xml:space="preserve">    - Host Compliance (Rental Unit Monitoring)</t>
  </si>
  <si>
    <t xml:space="preserve">    - Agenda Management Software</t>
  </si>
  <si>
    <t>Not Funded</t>
  </si>
  <si>
    <t>XXXXXXX - Capital Projects (Streets &amp; Infrastructure Funds plus Other Sources)</t>
  </si>
  <si>
    <t>Capital Projects &amp; Purchases Total</t>
  </si>
  <si>
    <r>
      <t>603000C · Seasonal Employee Expenses</t>
    </r>
    <r>
      <rPr>
        <sz val="8"/>
        <color rgb="FFFF0000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(20 Officers &amp; 2 Dispatchers)</t>
    </r>
  </si>
  <si>
    <t>6030200 · Salary &amp; Wages (Includes FT &amp; PT Year Round Dispatchers)</t>
  </si>
  <si>
    <t>LESO Funds</t>
  </si>
  <si>
    <t xml:space="preserve">    - IT Vulnerability  Assessment - Est.</t>
  </si>
  <si>
    <t>6051100 · Professional Fees</t>
  </si>
  <si>
    <t xml:space="preserve">    - Phone System Replacement - Est.</t>
  </si>
  <si>
    <t>4070100 · Beach Patrol (Donations) - General</t>
  </si>
  <si>
    <t>4070200 · Beach Patrol (Donations) - Junior Lifeguard Program</t>
  </si>
  <si>
    <t>4070300 · Beach Patrol (Donations) -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</si>
</sst>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8"/>
      <color rgb="FF32323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32323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9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5" fontId="4" fillId="0" borderId="7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Continuous"/>
    </xf>
    <xf numFmtId="165" fontId="4" fillId="0" borderId="0" xfId="2" applyNumberFormat="1" applyFont="1" applyFill="1" applyBorder="1" applyAlignment="1">
      <alignment horizontal="centerContinuous"/>
    </xf>
    <xf numFmtId="165" fontId="4" fillId="0" borderId="0" xfId="2" applyNumberFormat="1" applyFont="1" applyFill="1"/>
    <xf numFmtId="0" fontId="4" fillId="0" borderId="0" xfId="0" applyFont="1" applyFill="1"/>
    <xf numFmtId="165" fontId="1" fillId="0" borderId="0" xfId="2" applyNumberFormat="1" applyFont="1"/>
    <xf numFmtId="165" fontId="1" fillId="0" borderId="0" xfId="2" applyNumberFormat="1" applyFont="1" applyBorder="1"/>
    <xf numFmtId="165" fontId="1" fillId="0" borderId="4" xfId="2" applyNumberFormat="1" applyFont="1" applyBorder="1"/>
    <xf numFmtId="165" fontId="1" fillId="0" borderId="3" xfId="2" applyNumberFormat="1" applyFont="1" applyBorder="1"/>
    <xf numFmtId="165" fontId="1" fillId="0" borderId="5" xfId="2" applyNumberFormat="1" applyFont="1" applyBorder="1"/>
    <xf numFmtId="49" fontId="5" fillId="0" borderId="0" xfId="0" applyNumberFormat="1" applyFont="1" applyFill="1"/>
    <xf numFmtId="49" fontId="1" fillId="0" borderId="0" xfId="0" applyNumberFormat="1" applyFont="1" applyAlignment="1">
      <alignment horizontal="center"/>
    </xf>
    <xf numFmtId="165" fontId="5" fillId="0" borderId="7" xfId="2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5" fontId="1" fillId="0" borderId="6" xfId="2" applyNumberFormat="1" applyFont="1" applyBorder="1"/>
    <xf numFmtId="0" fontId="1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Border="1"/>
    <xf numFmtId="49" fontId="1" fillId="0" borderId="0" xfId="0" applyNumberFormat="1" applyFont="1" applyFill="1"/>
    <xf numFmtId="49" fontId="6" fillId="0" borderId="0" xfId="0" applyNumberFormat="1" applyFont="1" applyFill="1"/>
    <xf numFmtId="165" fontId="4" fillId="0" borderId="0" xfId="2" applyNumberFormat="1" applyFont="1"/>
    <xf numFmtId="165" fontId="8" fillId="0" borderId="0" xfId="2" applyNumberFormat="1" applyFont="1"/>
    <xf numFmtId="165" fontId="6" fillId="0" borderId="0" xfId="2" applyNumberFormat="1" applyFont="1"/>
    <xf numFmtId="165" fontId="4" fillId="0" borderId="0" xfId="2" applyNumberFormat="1" applyFont="1" applyBorder="1"/>
    <xf numFmtId="165" fontId="6" fillId="0" borderId="5" xfId="2" applyNumberFormat="1" applyFont="1" applyBorder="1"/>
    <xf numFmtId="165" fontId="6" fillId="0" borderId="4" xfId="2" applyNumberFormat="1" applyFont="1" applyBorder="1"/>
    <xf numFmtId="165" fontId="4" fillId="0" borderId="3" xfId="2" applyNumberFormat="1" applyFont="1" applyBorder="1"/>
    <xf numFmtId="165" fontId="8" fillId="0" borderId="3" xfId="2" applyNumberFormat="1" applyFont="1" applyBorder="1"/>
    <xf numFmtId="165" fontId="8" fillId="0" borderId="4" xfId="2" applyNumberFormat="1" applyFont="1" applyBorder="1"/>
    <xf numFmtId="165" fontId="8" fillId="0" borderId="0" xfId="2" applyNumberFormat="1" applyFont="1" applyFill="1"/>
    <xf numFmtId="165" fontId="11" fillId="0" borderId="3" xfId="2" applyNumberFormat="1" applyFont="1" applyBorder="1"/>
    <xf numFmtId="3" fontId="4" fillId="0" borderId="0" xfId="0" applyNumberFormat="1" applyFont="1"/>
    <xf numFmtId="165" fontId="11" fillId="0" borderId="4" xfId="2" applyNumberFormat="1" applyFont="1" applyBorder="1"/>
    <xf numFmtId="165" fontId="11" fillId="0" borderId="3" xfId="2" applyNumberFormat="1" applyFont="1" applyFill="1" applyBorder="1"/>
    <xf numFmtId="165" fontId="4" fillId="0" borderId="0" xfId="2" applyNumberFormat="1" applyFont="1" applyFill="1" applyBorder="1"/>
    <xf numFmtId="165" fontId="8" fillId="0" borderId="6" xfId="2" applyNumberFormat="1" applyFont="1" applyBorder="1"/>
    <xf numFmtId="165" fontId="8" fillId="0" borderId="5" xfId="2" applyNumberFormat="1" applyFont="1" applyBorder="1"/>
    <xf numFmtId="165" fontId="11" fillId="0" borderId="0" xfId="2" applyNumberFormat="1" applyFont="1" applyFill="1"/>
    <xf numFmtId="165" fontId="11" fillId="0" borderId="0" xfId="2" applyNumberFormat="1" applyFont="1"/>
    <xf numFmtId="165" fontId="11" fillId="0" borderId="0" xfId="2" applyNumberFormat="1" applyFont="1" applyBorder="1"/>
    <xf numFmtId="165" fontId="11" fillId="0" borderId="0" xfId="2" applyNumberFormat="1" applyFont="1" applyFill="1" applyAlignment="1">
      <alignment horizontal="center"/>
    </xf>
    <xf numFmtId="165" fontId="11" fillId="0" borderId="0" xfId="2" applyNumberFormat="1" applyFont="1" applyFill="1" applyBorder="1"/>
    <xf numFmtId="49" fontId="11" fillId="0" borderId="0" xfId="0" applyNumberFormat="1" applyFont="1"/>
    <xf numFmtId="49" fontId="11" fillId="0" borderId="0" xfId="0" applyNumberFormat="1" applyFont="1" applyFill="1"/>
    <xf numFmtId="49" fontId="8" fillId="0" borderId="2" xfId="0" applyNumberFormat="1" applyFont="1" applyBorder="1" applyAlignment="1">
      <alignment horizontal="center"/>
    </xf>
    <xf numFmtId="49" fontId="12" fillId="0" borderId="0" xfId="0" applyNumberFormat="1" applyFont="1" applyFill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8" fillId="0" borderId="0" xfId="0" applyNumberFormat="1" applyFont="1" applyFill="1"/>
    <xf numFmtId="49" fontId="6" fillId="0" borderId="0" xfId="0" applyNumberFormat="1" applyFont="1" applyBorder="1"/>
    <xf numFmtId="0" fontId="6" fillId="0" borderId="0" xfId="0" applyNumberFormat="1" applyFont="1"/>
    <xf numFmtId="43" fontId="4" fillId="0" borderId="0" xfId="2" applyFont="1"/>
    <xf numFmtId="43" fontId="4" fillId="0" borderId="0" xfId="0" applyNumberFormat="1" applyFont="1"/>
    <xf numFmtId="43" fontId="13" fillId="0" borderId="2" xfId="2" applyFont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4" fontId="1" fillId="0" borderId="4" xfId="0" applyNumberFormat="1" applyFont="1" applyBorder="1"/>
    <xf numFmtId="3" fontId="13" fillId="0" borderId="0" xfId="0" applyNumberFormat="1" applyFont="1"/>
    <xf numFmtId="165" fontId="6" fillId="2" borderId="0" xfId="2" applyNumberFormat="1" applyFont="1" applyFill="1"/>
    <xf numFmtId="165" fontId="7" fillId="3" borderId="0" xfId="2" applyNumberFormat="1" applyFont="1" applyFill="1"/>
    <xf numFmtId="165" fontId="6" fillId="3" borderId="0" xfId="2" applyNumberFormat="1" applyFont="1" applyFill="1"/>
    <xf numFmtId="165" fontId="7" fillId="0" borderId="5" xfId="2" applyNumberFormat="1" applyFont="1" applyBorder="1"/>
    <xf numFmtId="165" fontId="7" fillId="0" borderId="6" xfId="2" applyNumberFormat="1" applyFont="1" applyBorder="1"/>
    <xf numFmtId="0" fontId="7" fillId="0" borderId="0" xfId="0" applyNumberFormat="1" applyFont="1"/>
    <xf numFmtId="165" fontId="7" fillId="4" borderId="0" xfId="2" applyNumberFormat="1" applyFont="1" applyFill="1"/>
    <xf numFmtId="165" fontId="7" fillId="4" borderId="3" xfId="2" applyNumberFormat="1" applyFont="1" applyFill="1" applyBorder="1"/>
    <xf numFmtId="165" fontId="6" fillId="4" borderId="0" xfId="2" applyNumberFormat="1" applyFont="1" applyFill="1"/>
    <xf numFmtId="165" fontId="14" fillId="4" borderId="0" xfId="2" applyNumberFormat="1" applyFont="1" applyFill="1"/>
    <xf numFmtId="165" fontId="1" fillId="0" borderId="0" xfId="2" applyNumberFormat="1" applyFont="1" applyFill="1"/>
    <xf numFmtId="165" fontId="1" fillId="4" borderId="3" xfId="2" applyNumberFormat="1" applyFont="1" applyFill="1" applyBorder="1"/>
    <xf numFmtId="165" fontId="1" fillId="4" borderId="0" xfId="2" applyNumberFormat="1" applyFont="1" applyFill="1"/>
    <xf numFmtId="165" fontId="6" fillId="4" borderId="5" xfId="2" applyNumberFormat="1" applyFont="1" applyFill="1" applyBorder="1"/>
    <xf numFmtId="165" fontId="7" fillId="4" borderId="0" xfId="2" applyNumberFormat="1" applyFont="1" applyFill="1" applyBorder="1"/>
    <xf numFmtId="165" fontId="6" fillId="4" borderId="4" xfId="2" applyNumberFormat="1" applyFont="1" applyFill="1" applyBorder="1"/>
    <xf numFmtId="165" fontId="8" fillId="4" borderId="0" xfId="2" applyNumberFormat="1" applyFont="1" applyFill="1"/>
    <xf numFmtId="165" fontId="8" fillId="4" borderId="3" xfId="2" applyNumberFormat="1" applyFont="1" applyFill="1" applyBorder="1"/>
    <xf numFmtId="165" fontId="1" fillId="4" borderId="0" xfId="2" applyNumberFormat="1" applyFont="1" applyFill="1" applyBorder="1"/>
    <xf numFmtId="0" fontId="11" fillId="0" borderId="0" xfId="0" applyNumberFormat="1" applyFont="1"/>
    <xf numFmtId="165" fontId="1" fillId="2" borderId="2" xfId="2" applyNumberFormat="1" applyFont="1" applyFill="1" applyBorder="1" applyAlignment="1">
      <alignment horizontal="center"/>
    </xf>
    <xf numFmtId="165" fontId="7" fillId="2" borderId="0" xfId="2" applyNumberFormat="1" applyFont="1" applyFill="1"/>
    <xf numFmtId="165" fontId="7" fillId="2" borderId="3" xfId="2" applyNumberFormat="1" applyFont="1" applyFill="1" applyBorder="1"/>
    <xf numFmtId="165" fontId="7" fillId="2" borderId="0" xfId="2" applyNumberFormat="1" applyFont="1" applyFill="1" applyBorder="1"/>
    <xf numFmtId="165" fontId="8" fillId="2" borderId="6" xfId="2" applyNumberFormat="1" applyFont="1" applyFill="1" applyBorder="1"/>
    <xf numFmtId="165" fontId="8" fillId="0" borderId="5" xfId="2" applyNumberFormat="1" applyFont="1" applyFill="1" applyBorder="1"/>
    <xf numFmtId="165" fontId="4" fillId="0" borderId="0" xfId="2" applyNumberFormat="1" applyFont="1" applyFill="1" applyBorder="1" applyAlignment="1">
      <alignment horizontal="center" wrapText="1"/>
    </xf>
    <xf numFmtId="165" fontId="4" fillId="0" borderId="1" xfId="2" applyNumberFormat="1" applyFont="1" applyFill="1" applyBorder="1" applyAlignment="1">
      <alignment horizontal="center" wrapText="1"/>
    </xf>
    <xf numFmtId="165" fontId="4" fillId="0" borderId="1" xfId="2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38100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38100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L368"/>
  <sheetViews>
    <sheetView tabSelected="1" topLeftCell="A301" zoomScale="96" zoomScaleNormal="96" zoomScaleSheetLayoutView="96" zoomScalePageLayoutView="114" workbookViewId="0">
      <selection activeCell="Y299" sqref="Y299"/>
    </sheetView>
  </sheetViews>
  <sheetFormatPr defaultColWidth="9.109375" defaultRowHeight="10.199999999999999" x14ac:dyDescent="0.2"/>
  <cols>
    <col min="1" max="6" width="3" style="18" customWidth="1"/>
    <col min="7" max="7" width="54.33203125" style="18" bestFit="1" customWidth="1"/>
    <col min="8" max="8" width="2.33203125" style="18" hidden="1" customWidth="1"/>
    <col min="9" max="9" width="14.44140625" style="18" hidden="1" customWidth="1"/>
    <col min="10" max="10" width="2.33203125" style="18" hidden="1" customWidth="1"/>
    <col min="11" max="11" width="14.44140625" style="22" bestFit="1" customWidth="1"/>
    <col min="12" max="12" width="2.33203125" style="22" customWidth="1"/>
    <col min="13" max="13" width="14.44140625" style="22" bestFit="1" customWidth="1"/>
    <col min="14" max="14" width="2.33203125" style="22" customWidth="1"/>
    <col min="15" max="15" width="14.44140625" style="22" bestFit="1" customWidth="1"/>
    <col min="16" max="16" width="2.6640625" style="22" customWidth="1"/>
    <col min="17" max="17" width="14.44140625" style="29" bestFit="1" customWidth="1"/>
    <col min="18" max="19" width="2.6640625" style="22" customWidth="1"/>
    <col min="20" max="20" width="2.33203125" style="22" customWidth="1"/>
    <col min="21" max="21" width="11.109375" style="29" bestFit="1" customWidth="1"/>
    <col min="22" max="22" width="2.33203125" style="22" customWidth="1"/>
    <col min="23" max="23" width="11.109375" style="22" bestFit="1" customWidth="1"/>
    <col min="24" max="24" width="2.33203125" style="21" customWidth="1"/>
    <col min="25" max="25" width="12.109375" style="22" bestFit="1" customWidth="1"/>
    <col min="26" max="26" width="2.6640625" style="21" customWidth="1"/>
    <col min="27" max="29" width="11.109375" style="22" bestFit="1" customWidth="1"/>
    <col min="30" max="30" width="2.6640625" style="21" customWidth="1"/>
    <col min="31" max="31" width="11.109375" style="22" bestFit="1" customWidth="1"/>
    <col min="32" max="32" width="11.6640625" style="22" bestFit="1" customWidth="1"/>
    <col min="33" max="33" width="11.109375" style="22" bestFit="1" customWidth="1"/>
    <col min="34" max="34" width="2.6640625" style="21" customWidth="1"/>
    <col min="35" max="35" width="11.109375" style="22" bestFit="1" customWidth="1"/>
    <col min="36" max="37" width="11.6640625" style="22" bestFit="1" customWidth="1"/>
    <col min="38" max="16384" width="9.109375" style="21"/>
  </cols>
  <sheetData>
    <row r="1" spans="1:37" s="7" customFormat="1" ht="15.75" customHeight="1" thickBot="1" x14ac:dyDescent="0.25">
      <c r="A1" s="13" t="s">
        <v>300</v>
      </c>
      <c r="B1" s="13"/>
      <c r="C1" s="13"/>
      <c r="D1" s="13"/>
      <c r="E1" s="13"/>
      <c r="F1" s="13"/>
      <c r="G1" s="13"/>
      <c r="H1" s="95" t="s">
        <v>276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4"/>
      <c r="X1" s="5"/>
      <c r="Y1" s="4"/>
      <c r="Z1" s="6"/>
      <c r="AA1" s="93" t="s">
        <v>286</v>
      </c>
      <c r="AB1" s="64"/>
      <c r="AC1" s="64"/>
      <c r="AE1" s="93" t="s">
        <v>351</v>
      </c>
      <c r="AF1" s="93" t="s">
        <v>352</v>
      </c>
      <c r="AG1" s="93" t="s">
        <v>353</v>
      </c>
      <c r="AI1" s="93" t="s">
        <v>354</v>
      </c>
      <c r="AJ1" s="93" t="s">
        <v>355</v>
      </c>
      <c r="AK1" s="93" t="s">
        <v>356</v>
      </c>
    </row>
    <row r="2" spans="1:37" s="20" customFormat="1" ht="16.5" customHeight="1" thickTop="1" thickBot="1" x14ac:dyDescent="0.25">
      <c r="A2" s="14"/>
      <c r="B2" s="14"/>
      <c r="C2" s="14"/>
      <c r="D2" s="14"/>
      <c r="E2" s="14"/>
      <c r="F2" s="14"/>
      <c r="G2" s="14"/>
      <c r="H2" s="3"/>
      <c r="I2" s="15" t="s">
        <v>272</v>
      </c>
      <c r="J2" s="3"/>
      <c r="K2" s="15" t="s">
        <v>273</v>
      </c>
      <c r="L2" s="3"/>
      <c r="M2" s="15" t="s">
        <v>274</v>
      </c>
      <c r="N2" s="3"/>
      <c r="O2" s="15" t="s">
        <v>275</v>
      </c>
      <c r="P2" s="15"/>
      <c r="Q2" s="15" t="s">
        <v>348</v>
      </c>
      <c r="R2" s="63"/>
      <c r="S2" s="63"/>
      <c r="T2" s="19"/>
      <c r="U2" s="87" t="s">
        <v>349</v>
      </c>
      <c r="V2" s="19"/>
      <c r="W2" s="16" t="s">
        <v>277</v>
      </c>
      <c r="Y2" s="53" t="s">
        <v>350</v>
      </c>
      <c r="AA2" s="94"/>
      <c r="AB2" s="23" t="s">
        <v>287</v>
      </c>
      <c r="AC2" s="23" t="s">
        <v>288</v>
      </c>
      <c r="AE2" s="94"/>
      <c r="AF2" s="94"/>
      <c r="AG2" s="94"/>
      <c r="AI2" s="94"/>
      <c r="AJ2" s="94"/>
      <c r="AK2" s="94"/>
    </row>
    <row r="3" spans="1:37" x14ac:dyDescent="0.2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1"/>
      <c r="L3" s="2"/>
      <c r="M3" s="1"/>
      <c r="N3" s="2"/>
      <c r="O3" s="1"/>
      <c r="P3" s="1"/>
      <c r="Q3" s="8"/>
      <c r="R3" s="1"/>
      <c r="S3" s="1"/>
      <c r="T3" s="2"/>
      <c r="U3" s="8"/>
      <c r="V3" s="2"/>
      <c r="W3" s="1"/>
      <c r="Y3" s="1"/>
      <c r="AA3" s="1"/>
      <c r="AB3" s="1"/>
      <c r="AC3" s="1"/>
      <c r="AE3" s="1"/>
      <c r="AF3" s="1"/>
      <c r="AG3" s="1"/>
      <c r="AI3" s="1"/>
      <c r="AJ3" s="1"/>
      <c r="AK3" s="1"/>
    </row>
    <row r="4" spans="1:37" s="29" customFormat="1" x14ac:dyDescent="0.2">
      <c r="A4" s="2"/>
      <c r="B4" s="2"/>
      <c r="C4" s="2"/>
      <c r="D4" s="2" t="s">
        <v>1</v>
      </c>
      <c r="E4" s="2"/>
      <c r="F4" s="2"/>
      <c r="G4" s="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Y4" s="8"/>
      <c r="AA4" s="8"/>
      <c r="AB4" s="8"/>
      <c r="AC4" s="8"/>
      <c r="AE4" s="8"/>
      <c r="AF4" s="8"/>
      <c r="AG4" s="8"/>
      <c r="AI4" s="8"/>
      <c r="AJ4" s="8"/>
      <c r="AK4" s="8"/>
    </row>
    <row r="5" spans="1:37" s="29" customFormat="1" x14ac:dyDescent="0.2">
      <c r="A5" s="2"/>
      <c r="B5" s="2"/>
      <c r="C5" s="2"/>
      <c r="D5" s="2"/>
      <c r="E5" s="2" t="s">
        <v>2</v>
      </c>
      <c r="F5" s="2"/>
      <c r="G5" s="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Y5" s="8"/>
      <c r="AA5" s="8"/>
      <c r="AB5" s="8"/>
      <c r="AC5" s="8"/>
      <c r="AE5" s="8"/>
      <c r="AF5" s="8"/>
      <c r="AG5" s="8"/>
      <c r="AI5" s="8"/>
      <c r="AJ5" s="8"/>
      <c r="AK5" s="8"/>
    </row>
    <row r="6" spans="1:37" s="29" customFormat="1" x14ac:dyDescent="0.2">
      <c r="A6" s="2"/>
      <c r="B6" s="2"/>
      <c r="C6" s="2"/>
      <c r="D6" s="2"/>
      <c r="E6" s="2"/>
      <c r="F6" s="2" t="s">
        <v>3</v>
      </c>
      <c r="G6" s="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Y6" s="8"/>
      <c r="AA6" s="8"/>
      <c r="AB6" s="8"/>
      <c r="AC6" s="8"/>
      <c r="AE6" s="8"/>
      <c r="AF6" s="8"/>
      <c r="AG6" s="8"/>
      <c r="AI6" s="8"/>
      <c r="AJ6" s="8"/>
      <c r="AK6" s="8"/>
    </row>
    <row r="7" spans="1:37" s="29" customFormat="1" x14ac:dyDescent="0.2">
      <c r="A7" s="2"/>
      <c r="B7" s="2"/>
      <c r="C7" s="2"/>
      <c r="D7" s="2"/>
      <c r="E7" s="2"/>
      <c r="F7" s="2"/>
      <c r="G7" s="2" t="s">
        <v>4</v>
      </c>
      <c r="H7" s="8"/>
      <c r="I7" s="8">
        <v>602864</v>
      </c>
      <c r="J7" s="8"/>
      <c r="K7" s="8">
        <v>611483</v>
      </c>
      <c r="L7" s="8"/>
      <c r="M7" s="8">
        <v>733987</v>
      </c>
      <c r="N7" s="8"/>
      <c r="O7" s="8">
        <v>729324.36</v>
      </c>
      <c r="P7" s="8"/>
      <c r="Q7" s="8">
        <v>744785.47</v>
      </c>
      <c r="R7" s="8"/>
      <c r="S7" s="8"/>
      <c r="T7" s="8"/>
      <c r="U7" s="46">
        <v>560074.48</v>
      </c>
      <c r="V7" s="8"/>
      <c r="W7" s="46">
        <v>630000</v>
      </c>
      <c r="Y7" s="88">
        <v>605000</v>
      </c>
      <c r="AA7" s="8">
        <f>AVERAGE(I7:Q7)</f>
        <v>684488.76600000006</v>
      </c>
      <c r="AB7" s="8">
        <f>MAX(I7:Q7)</f>
        <v>744785.47</v>
      </c>
      <c r="AC7" s="8">
        <f>MIN(I7:Q7)</f>
        <v>602864</v>
      </c>
      <c r="AE7" s="8">
        <f>+U7-AA7</f>
        <v>-124414.28600000008</v>
      </c>
      <c r="AF7" s="8">
        <f>+U7-AB7</f>
        <v>-184710.99</v>
      </c>
      <c r="AG7" s="8">
        <f>+U7-AC7</f>
        <v>-42789.520000000019</v>
      </c>
      <c r="AI7" s="8">
        <f>+W7-AA7</f>
        <v>-54488.766000000061</v>
      </c>
      <c r="AJ7" s="8">
        <f>+W7-AB7</f>
        <v>-114785.46999999997</v>
      </c>
      <c r="AK7" s="8">
        <f>+W7-AC7</f>
        <v>27136</v>
      </c>
    </row>
    <row r="8" spans="1:37" s="29" customFormat="1" x14ac:dyDescent="0.2">
      <c r="A8" s="2"/>
      <c r="B8" s="2"/>
      <c r="C8" s="2"/>
      <c r="D8" s="2"/>
      <c r="E8" s="2"/>
      <c r="F8" s="2"/>
      <c r="G8" s="2" t="s">
        <v>357</v>
      </c>
      <c r="H8" s="8"/>
      <c r="I8" s="8"/>
      <c r="J8" s="8"/>
      <c r="K8" s="8"/>
      <c r="L8" s="8"/>
      <c r="M8" s="8"/>
      <c r="N8" s="8"/>
      <c r="O8" s="8"/>
      <c r="P8" s="8"/>
      <c r="Q8" s="8">
        <v>39199</v>
      </c>
      <c r="R8" s="8"/>
      <c r="S8" s="8"/>
      <c r="T8" s="8"/>
      <c r="U8" s="46">
        <v>26828.07</v>
      </c>
      <c r="V8" s="8"/>
      <c r="W8" s="46"/>
      <c r="Y8" s="8"/>
      <c r="AA8" s="8"/>
      <c r="AB8" s="8"/>
      <c r="AC8" s="8"/>
      <c r="AE8" s="8"/>
      <c r="AF8" s="8"/>
      <c r="AG8" s="8"/>
      <c r="AI8" s="8"/>
      <c r="AJ8" s="8"/>
      <c r="AK8" s="8"/>
    </row>
    <row r="9" spans="1:37" s="29" customFormat="1" x14ac:dyDescent="0.2">
      <c r="A9" s="2"/>
      <c r="B9" s="2"/>
      <c r="C9" s="2"/>
      <c r="D9" s="2"/>
      <c r="E9" s="2"/>
      <c r="F9" s="2"/>
      <c r="G9" s="2" t="s">
        <v>5</v>
      </c>
      <c r="H9" s="8"/>
      <c r="I9" s="8">
        <v>414052</v>
      </c>
      <c r="J9" s="8"/>
      <c r="K9" s="8">
        <v>473317</v>
      </c>
      <c r="L9" s="8"/>
      <c r="M9" s="8">
        <v>522887</v>
      </c>
      <c r="N9" s="8"/>
      <c r="O9" s="8">
        <v>499054.87</v>
      </c>
      <c r="P9" s="8"/>
      <c r="Q9" s="8">
        <v>510696.11</v>
      </c>
      <c r="R9" s="8"/>
      <c r="S9" s="8"/>
      <c r="T9" s="8"/>
      <c r="U9" s="47">
        <v>390681.27</v>
      </c>
      <c r="V9" s="8"/>
      <c r="W9" s="47">
        <v>512500</v>
      </c>
      <c r="Y9" s="88">
        <v>475000</v>
      </c>
      <c r="AA9" s="8">
        <f t="shared" ref="AA9:AA11" si="0">AVERAGE(I9:Q9)</f>
        <v>484001.39600000001</v>
      </c>
      <c r="AB9" s="8">
        <f t="shared" ref="AB9:AB11" si="1">MAX(I9:Q9)</f>
        <v>522887</v>
      </c>
      <c r="AC9" s="8">
        <f t="shared" ref="AC9:AC11" si="2">MIN(I9:Q9)</f>
        <v>414052</v>
      </c>
      <c r="AE9" s="8">
        <f t="shared" ref="AE9:AE11" si="3">+U9-AA9</f>
        <v>-93320.125999999989</v>
      </c>
      <c r="AF9" s="8">
        <f t="shared" ref="AF9:AF11" si="4">+U9-AB9</f>
        <v>-132205.72999999998</v>
      </c>
      <c r="AG9" s="8">
        <f t="shared" ref="AG9:AG11" si="5">+U9-AC9</f>
        <v>-23370.729999999981</v>
      </c>
      <c r="AI9" s="8">
        <f t="shared" ref="AI9:AI11" si="6">+W9-AA9</f>
        <v>28498.603999999992</v>
      </c>
      <c r="AJ9" s="8">
        <f t="shared" ref="AJ9:AJ11" si="7">+W9-AB9</f>
        <v>-10387</v>
      </c>
      <c r="AK9" s="8">
        <f t="shared" ref="AK9:AK11" si="8">+W9-AC9</f>
        <v>98448</v>
      </c>
    </row>
    <row r="10" spans="1:37" s="29" customFormat="1" x14ac:dyDescent="0.2">
      <c r="A10" s="2"/>
      <c r="B10" s="2"/>
      <c r="C10" s="2"/>
      <c r="D10" s="2"/>
      <c r="E10" s="2"/>
      <c r="F10" s="2"/>
      <c r="G10" s="2" t="s">
        <v>6</v>
      </c>
      <c r="H10" s="8"/>
      <c r="I10" s="8">
        <v>42944</v>
      </c>
      <c r="J10" s="8"/>
      <c r="K10" s="8">
        <v>50722</v>
      </c>
      <c r="L10" s="8"/>
      <c r="M10" s="8">
        <v>54119</v>
      </c>
      <c r="N10" s="8"/>
      <c r="O10" s="8">
        <v>58053.04</v>
      </c>
      <c r="P10" s="8"/>
      <c r="Q10" s="8">
        <v>55465.42</v>
      </c>
      <c r="R10" s="8"/>
      <c r="S10" s="8"/>
      <c r="T10" s="8"/>
      <c r="U10" s="47">
        <v>58509.86</v>
      </c>
      <c r="V10" s="8"/>
      <c r="W10" s="47">
        <v>55000</v>
      </c>
      <c r="Y10" s="73">
        <v>58000</v>
      </c>
      <c r="AA10" s="8">
        <f t="shared" si="0"/>
        <v>52260.692000000003</v>
      </c>
      <c r="AB10" s="8">
        <f t="shared" si="1"/>
        <v>58053.04</v>
      </c>
      <c r="AC10" s="8">
        <f t="shared" si="2"/>
        <v>42944</v>
      </c>
      <c r="AE10" s="8">
        <f t="shared" si="3"/>
        <v>6249.1679999999978</v>
      </c>
      <c r="AF10" s="8">
        <f t="shared" si="4"/>
        <v>456.81999999999971</v>
      </c>
      <c r="AG10" s="8">
        <f t="shared" si="5"/>
        <v>15565.86</v>
      </c>
      <c r="AI10" s="8">
        <f t="shared" si="6"/>
        <v>2739.3079999999973</v>
      </c>
      <c r="AJ10" s="8">
        <f t="shared" si="7"/>
        <v>-3053.0400000000009</v>
      </c>
      <c r="AK10" s="8">
        <f t="shared" si="8"/>
        <v>12056</v>
      </c>
    </row>
    <row r="11" spans="1:37" s="29" customFormat="1" ht="10.8" thickBot="1" x14ac:dyDescent="0.25">
      <c r="A11" s="2"/>
      <c r="B11" s="2"/>
      <c r="C11" s="2"/>
      <c r="D11" s="2"/>
      <c r="E11" s="2"/>
      <c r="F11" s="2"/>
      <c r="G11" s="2" t="s">
        <v>7</v>
      </c>
      <c r="H11" s="8"/>
      <c r="I11" s="9">
        <v>66000</v>
      </c>
      <c r="J11" s="8"/>
      <c r="K11" s="9">
        <v>65000</v>
      </c>
      <c r="L11" s="8"/>
      <c r="M11" s="9">
        <v>65000</v>
      </c>
      <c r="N11" s="8"/>
      <c r="O11" s="9">
        <v>70000</v>
      </c>
      <c r="P11" s="9"/>
      <c r="Q11" s="8">
        <v>70000</v>
      </c>
      <c r="R11" s="9"/>
      <c r="S11" s="9"/>
      <c r="T11" s="8"/>
      <c r="U11" s="48">
        <v>70000</v>
      </c>
      <c r="V11" s="8"/>
      <c r="W11" s="48">
        <v>70000</v>
      </c>
      <c r="Y11" s="81">
        <v>70000</v>
      </c>
      <c r="AA11" s="9">
        <f t="shared" si="0"/>
        <v>67200</v>
      </c>
      <c r="AB11" s="9">
        <f t="shared" si="1"/>
        <v>70000</v>
      </c>
      <c r="AC11" s="9">
        <f t="shared" si="2"/>
        <v>65000</v>
      </c>
      <c r="AE11" s="9">
        <f t="shared" si="3"/>
        <v>2800</v>
      </c>
      <c r="AF11" s="9">
        <f t="shared" si="4"/>
        <v>0</v>
      </c>
      <c r="AG11" s="9">
        <f t="shared" si="5"/>
        <v>5000</v>
      </c>
      <c r="AI11" s="9">
        <f t="shared" si="6"/>
        <v>2800</v>
      </c>
      <c r="AJ11" s="9">
        <f t="shared" si="7"/>
        <v>0</v>
      </c>
      <c r="AK11" s="9">
        <f t="shared" si="8"/>
        <v>5000</v>
      </c>
    </row>
    <row r="12" spans="1:37" s="29" customFormat="1" ht="10.8" thickBot="1" x14ac:dyDescent="0.25">
      <c r="A12" s="2"/>
      <c r="B12" s="2"/>
      <c r="C12" s="2"/>
      <c r="D12" s="2"/>
      <c r="E12" s="2"/>
      <c r="F12" s="2" t="s">
        <v>8</v>
      </c>
      <c r="G12" s="2"/>
      <c r="H12" s="8"/>
      <c r="I12" s="10">
        <f>ROUND(SUM(I6:I11),5)</f>
        <v>1125860</v>
      </c>
      <c r="J12" s="8"/>
      <c r="K12" s="10">
        <f>ROUND(SUM(K6:K11),5)</f>
        <v>1200522</v>
      </c>
      <c r="L12" s="8"/>
      <c r="M12" s="10">
        <f>ROUND(SUM(M6:M11),5)</f>
        <v>1375993</v>
      </c>
      <c r="N12" s="8"/>
      <c r="O12" s="10">
        <f>ROUND(SUM(O6:O11),5)</f>
        <v>1356432.27</v>
      </c>
      <c r="P12" s="10"/>
      <c r="Q12" s="10">
        <f>ROUND(SUM(Q6:Q11),5)</f>
        <v>1420146</v>
      </c>
      <c r="R12" s="9"/>
      <c r="S12" s="9"/>
      <c r="T12" s="8"/>
      <c r="U12" s="41">
        <f>ROUND(SUM(U6:U11),5)</f>
        <v>1106093.68</v>
      </c>
      <c r="V12" s="8"/>
      <c r="W12" s="41">
        <f>ROUND(SUM(W6:W11),5)</f>
        <v>1267500</v>
      </c>
      <c r="Y12" s="10">
        <f>ROUND(SUM(Y6:Y11),5)</f>
        <v>1208000</v>
      </c>
      <c r="AA12" s="10">
        <f t="shared" ref="AA12:AC12" si="9">ROUND(SUM(AA6:AA11),5)</f>
        <v>1287950.8540000001</v>
      </c>
      <c r="AB12" s="10">
        <f t="shared" si="9"/>
        <v>1395725.51</v>
      </c>
      <c r="AC12" s="10">
        <f t="shared" si="9"/>
        <v>1124860</v>
      </c>
      <c r="AE12" s="10">
        <f t="shared" ref="AE12" si="10">ROUND(SUM(AE6:AE11),5)</f>
        <v>-208685.24400000001</v>
      </c>
      <c r="AF12" s="10">
        <f t="shared" ref="AF12" si="11">ROUND(SUM(AF6:AF11),5)</f>
        <v>-316459.90000000002</v>
      </c>
      <c r="AG12" s="10">
        <f t="shared" ref="AG12" si="12">ROUND(SUM(AG6:AG11),5)</f>
        <v>-45594.39</v>
      </c>
      <c r="AI12" s="10"/>
      <c r="AJ12" s="10"/>
      <c r="AK12" s="10"/>
    </row>
    <row r="13" spans="1:37" s="29" customFormat="1" x14ac:dyDescent="0.2">
      <c r="A13" s="2"/>
      <c r="B13" s="2"/>
      <c r="C13" s="2"/>
      <c r="D13" s="2"/>
      <c r="E13" s="2" t="s">
        <v>9</v>
      </c>
      <c r="F13" s="2"/>
      <c r="G13" s="2"/>
      <c r="H13" s="8"/>
      <c r="I13" s="8">
        <f>ROUND(I5+I12,5)</f>
        <v>1125860</v>
      </c>
      <c r="J13" s="8"/>
      <c r="K13" s="8">
        <f>ROUND(K5+K12,5)</f>
        <v>1200522</v>
      </c>
      <c r="L13" s="8"/>
      <c r="M13" s="8">
        <f>ROUND(M5+M12,5)</f>
        <v>1375993</v>
      </c>
      <c r="N13" s="8"/>
      <c r="O13" s="8">
        <f>ROUND(O5+O12,5)</f>
        <v>1356432.27</v>
      </c>
      <c r="P13" s="8"/>
      <c r="Q13" s="8">
        <f>ROUND(Q5+Q12,5)</f>
        <v>1420146</v>
      </c>
      <c r="R13" s="8"/>
      <c r="S13" s="8"/>
      <c r="T13" s="8"/>
      <c r="U13" s="30">
        <f>ROUND(U5+U12,5)</f>
        <v>1106093.68</v>
      </c>
      <c r="V13" s="8"/>
      <c r="W13" s="30">
        <f>ROUND(W5+W12,5)</f>
        <v>1267500</v>
      </c>
      <c r="Y13" s="31">
        <f>ROUND(Y5+Y12,5)</f>
        <v>1208000</v>
      </c>
      <c r="AA13" s="8">
        <f t="shared" ref="AA13:AC13" si="13">ROUND(AA5+AA12,5)</f>
        <v>1287950.8540000001</v>
      </c>
      <c r="AB13" s="8">
        <f t="shared" si="13"/>
        <v>1395725.51</v>
      </c>
      <c r="AC13" s="8">
        <f t="shared" si="13"/>
        <v>1124860</v>
      </c>
      <c r="AE13" s="8">
        <f t="shared" ref="AE13" si="14">ROUND(AE5+AE12,5)</f>
        <v>-208685.24400000001</v>
      </c>
      <c r="AF13" s="8">
        <f t="shared" ref="AF13" si="15">ROUND(AF5+AF12,5)</f>
        <v>-316459.90000000002</v>
      </c>
      <c r="AG13" s="8">
        <f t="shared" ref="AG13" si="16">ROUND(AG5+AG12,5)</f>
        <v>-45594.39</v>
      </c>
      <c r="AI13" s="8"/>
      <c r="AJ13" s="8"/>
      <c r="AK13" s="8"/>
    </row>
    <row r="14" spans="1:37" s="29" customFormat="1" x14ac:dyDescent="0.2">
      <c r="A14" s="2"/>
      <c r="B14" s="2"/>
      <c r="C14" s="2"/>
      <c r="D14" s="2"/>
      <c r="E14" s="2" t="s">
        <v>10</v>
      </c>
      <c r="F14" s="2"/>
      <c r="G14" s="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Y14" s="8"/>
      <c r="AA14" s="8"/>
      <c r="AB14" s="8"/>
      <c r="AC14" s="8"/>
      <c r="AE14" s="8"/>
      <c r="AF14" s="8"/>
      <c r="AG14" s="8"/>
      <c r="AI14" s="8"/>
      <c r="AJ14" s="8"/>
      <c r="AK14" s="8"/>
    </row>
    <row r="15" spans="1:37" s="29" customFormat="1" x14ac:dyDescent="0.2">
      <c r="A15" s="2"/>
      <c r="B15" s="2"/>
      <c r="C15" s="2"/>
      <c r="D15" s="2"/>
      <c r="E15" s="2"/>
      <c r="F15" s="2" t="s">
        <v>11</v>
      </c>
      <c r="G15" s="2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Y15" s="8"/>
      <c r="AA15" s="8"/>
      <c r="AB15" s="8"/>
      <c r="AC15" s="8"/>
      <c r="AE15" s="8"/>
      <c r="AF15" s="8"/>
      <c r="AG15" s="8"/>
      <c r="AI15" s="8"/>
      <c r="AJ15" s="8"/>
      <c r="AK15" s="8"/>
    </row>
    <row r="16" spans="1:37" s="29" customFormat="1" x14ac:dyDescent="0.2">
      <c r="A16" s="2"/>
      <c r="B16" s="2"/>
      <c r="C16" s="2"/>
      <c r="D16" s="2"/>
      <c r="E16" s="2"/>
      <c r="F16" s="2"/>
      <c r="G16" s="2" t="s">
        <v>12</v>
      </c>
      <c r="H16" s="8"/>
      <c r="I16" s="8">
        <v>516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0</v>
      </c>
      <c r="R16" s="8"/>
      <c r="S16" s="8"/>
      <c r="T16" s="8"/>
      <c r="U16" s="47">
        <v>500</v>
      </c>
      <c r="V16" s="8"/>
      <c r="W16" s="47">
        <v>0</v>
      </c>
      <c r="Y16" s="73">
        <v>0</v>
      </c>
      <c r="AA16" s="8">
        <f t="shared" ref="AA16:AA20" si="17">AVERAGE(I16:Q16)</f>
        <v>103.2</v>
      </c>
      <c r="AB16" s="8">
        <f t="shared" ref="AB16:AB20" si="18">MAX(I16:Q16)</f>
        <v>516</v>
      </c>
      <c r="AC16" s="8">
        <f t="shared" ref="AC16:AC20" si="19">MIN(I16:Q16)</f>
        <v>0</v>
      </c>
      <c r="AE16" s="8">
        <f t="shared" ref="AE16:AE20" si="20">+U16-AA16</f>
        <v>396.8</v>
      </c>
      <c r="AF16" s="8">
        <f t="shared" ref="AF16:AF20" si="21">+U16-AB16</f>
        <v>-16</v>
      </c>
      <c r="AG16" s="8">
        <f t="shared" ref="AG16:AG20" si="22">+U16-AC16</f>
        <v>500</v>
      </c>
      <c r="AI16" s="8">
        <f t="shared" ref="AI16:AI20" si="23">+W16-AA16</f>
        <v>-103.2</v>
      </c>
      <c r="AJ16" s="8">
        <f t="shared" ref="AJ16:AJ20" si="24">+W16-AB16</f>
        <v>-516</v>
      </c>
      <c r="AK16" s="8">
        <f t="shared" ref="AK16:AK20" si="25">+W16-AC16</f>
        <v>0</v>
      </c>
    </row>
    <row r="17" spans="1:37" s="29" customFormat="1" x14ac:dyDescent="0.2">
      <c r="A17" s="2"/>
      <c r="B17" s="2"/>
      <c r="C17" s="2"/>
      <c r="D17" s="2"/>
      <c r="E17" s="2"/>
      <c r="F17" s="2"/>
      <c r="G17" s="2" t="s">
        <v>13</v>
      </c>
      <c r="H17" s="8"/>
      <c r="I17" s="8">
        <v>73262</v>
      </c>
      <c r="J17" s="8"/>
      <c r="K17" s="8">
        <v>113988</v>
      </c>
      <c r="L17" s="8"/>
      <c r="M17" s="8">
        <v>119728</v>
      </c>
      <c r="N17" s="8"/>
      <c r="O17" s="8">
        <v>107722.02</v>
      </c>
      <c r="P17" s="8"/>
      <c r="Q17" s="8">
        <v>100923.4</v>
      </c>
      <c r="R17" s="8"/>
      <c r="S17" s="8"/>
      <c r="T17" s="8"/>
      <c r="U17" s="47">
        <v>39094</v>
      </c>
      <c r="V17" s="8"/>
      <c r="W17" s="47">
        <v>103500</v>
      </c>
      <c r="Y17" s="73">
        <v>103500</v>
      </c>
      <c r="AA17" s="8">
        <f t="shared" si="17"/>
        <v>103124.68400000001</v>
      </c>
      <c r="AB17" s="8">
        <f t="shared" si="18"/>
        <v>119728</v>
      </c>
      <c r="AC17" s="8">
        <f t="shared" si="19"/>
        <v>73262</v>
      </c>
      <c r="AE17" s="8">
        <f t="shared" si="20"/>
        <v>-64030.684000000008</v>
      </c>
      <c r="AF17" s="8">
        <f t="shared" si="21"/>
        <v>-80634</v>
      </c>
      <c r="AG17" s="8">
        <f t="shared" si="22"/>
        <v>-34168</v>
      </c>
      <c r="AI17" s="8">
        <f t="shared" si="23"/>
        <v>375.31599999999162</v>
      </c>
      <c r="AJ17" s="8">
        <f t="shared" si="24"/>
        <v>-16228</v>
      </c>
      <c r="AK17" s="8">
        <f t="shared" si="25"/>
        <v>30238</v>
      </c>
    </row>
    <row r="18" spans="1:37" s="29" customFormat="1" x14ac:dyDescent="0.2">
      <c r="A18" s="2"/>
      <c r="B18" s="2"/>
      <c r="C18" s="2"/>
      <c r="D18" s="2"/>
      <c r="E18" s="2"/>
      <c r="F18" s="2"/>
      <c r="G18" s="2" t="s">
        <v>14</v>
      </c>
      <c r="H18" s="8"/>
      <c r="I18" s="8"/>
      <c r="J18" s="8"/>
      <c r="K18" s="8">
        <v>3686</v>
      </c>
      <c r="L18" s="8"/>
      <c r="M18" s="8">
        <v>4124</v>
      </c>
      <c r="N18" s="8"/>
      <c r="O18" s="8">
        <v>4551.3500000000004</v>
      </c>
      <c r="P18" s="8"/>
      <c r="Q18" s="8">
        <v>2293</v>
      </c>
      <c r="R18" s="8"/>
      <c r="S18" s="8"/>
      <c r="T18" s="8"/>
      <c r="U18" s="47">
        <v>1200</v>
      </c>
      <c r="V18" s="8"/>
      <c r="W18" s="47">
        <v>4000</v>
      </c>
      <c r="Y18" s="73">
        <v>2000</v>
      </c>
      <c r="AA18" s="8">
        <f t="shared" si="17"/>
        <v>3663.5875000000001</v>
      </c>
      <c r="AB18" s="8">
        <f t="shared" si="18"/>
        <v>4551.3500000000004</v>
      </c>
      <c r="AC18" s="8">
        <f t="shared" si="19"/>
        <v>2293</v>
      </c>
      <c r="AE18" s="8">
        <f t="shared" si="20"/>
        <v>-2463.5875000000001</v>
      </c>
      <c r="AF18" s="8">
        <f t="shared" si="21"/>
        <v>-3351.3500000000004</v>
      </c>
      <c r="AG18" s="8">
        <f t="shared" si="22"/>
        <v>-1093</v>
      </c>
      <c r="AI18" s="8">
        <f t="shared" si="23"/>
        <v>336.41249999999991</v>
      </c>
      <c r="AJ18" s="8">
        <f t="shared" si="24"/>
        <v>-551.35000000000036</v>
      </c>
      <c r="AK18" s="8">
        <f t="shared" si="25"/>
        <v>1707</v>
      </c>
    </row>
    <row r="19" spans="1:37" s="29" customFormat="1" x14ac:dyDescent="0.2">
      <c r="A19" s="2"/>
      <c r="B19" s="2"/>
      <c r="C19" s="2"/>
      <c r="D19" s="2"/>
      <c r="E19" s="2"/>
      <c r="F19" s="2"/>
      <c r="G19" s="2" t="s">
        <v>15</v>
      </c>
      <c r="H19" s="8"/>
      <c r="I19" s="8">
        <v>227266</v>
      </c>
      <c r="J19" s="8"/>
      <c r="K19" s="8">
        <v>269309</v>
      </c>
      <c r="L19" s="8"/>
      <c r="M19" s="8">
        <f>234411+1391</f>
        <v>235802</v>
      </c>
      <c r="N19" s="8"/>
      <c r="O19" s="8">
        <v>192032.32</v>
      </c>
      <c r="P19" s="8"/>
      <c r="Q19" s="8">
        <v>220165</v>
      </c>
      <c r="R19" s="8"/>
      <c r="S19" s="8"/>
      <c r="T19" s="8"/>
      <c r="U19" s="47">
        <v>70678</v>
      </c>
      <c r="V19" s="8"/>
      <c r="W19" s="47">
        <v>210000</v>
      </c>
      <c r="Y19" s="73">
        <v>227500</v>
      </c>
      <c r="AA19" s="8">
        <f t="shared" si="17"/>
        <v>228914.864</v>
      </c>
      <c r="AB19" s="8">
        <f t="shared" si="18"/>
        <v>269309</v>
      </c>
      <c r="AC19" s="8">
        <f t="shared" si="19"/>
        <v>192032.32</v>
      </c>
      <c r="AE19" s="8">
        <f t="shared" si="20"/>
        <v>-158236.864</v>
      </c>
      <c r="AF19" s="8">
        <f t="shared" si="21"/>
        <v>-198631</v>
      </c>
      <c r="AG19" s="8">
        <f t="shared" si="22"/>
        <v>-121354.32</v>
      </c>
      <c r="AI19" s="8">
        <f t="shared" si="23"/>
        <v>-18914.864000000001</v>
      </c>
      <c r="AJ19" s="8">
        <f t="shared" si="24"/>
        <v>-59309</v>
      </c>
      <c r="AK19" s="8">
        <f t="shared" si="25"/>
        <v>17967.679999999993</v>
      </c>
    </row>
    <row r="20" spans="1:37" s="29" customFormat="1" ht="10.8" thickBot="1" x14ac:dyDescent="0.25">
      <c r="A20" s="2"/>
      <c r="B20" s="2"/>
      <c r="C20" s="2"/>
      <c r="D20" s="2"/>
      <c r="E20" s="2"/>
      <c r="F20" s="2"/>
      <c r="G20" s="2" t="s">
        <v>16</v>
      </c>
      <c r="H20" s="8"/>
      <c r="I20" s="11">
        <v>10273</v>
      </c>
      <c r="J20" s="8"/>
      <c r="K20" s="11">
        <v>7086</v>
      </c>
      <c r="L20" s="8"/>
      <c r="M20" s="11">
        <v>11369</v>
      </c>
      <c r="N20" s="8"/>
      <c r="O20" s="11">
        <v>6159</v>
      </c>
      <c r="P20" s="11"/>
      <c r="Q20" s="11">
        <v>7957</v>
      </c>
      <c r="R20" s="9"/>
      <c r="S20" s="9"/>
      <c r="T20" s="8"/>
      <c r="U20" s="39">
        <v>1199</v>
      </c>
      <c r="V20" s="8"/>
      <c r="W20" s="39">
        <v>7000</v>
      </c>
      <c r="Y20" s="74">
        <v>500</v>
      </c>
      <c r="AA20" s="11">
        <f t="shared" si="17"/>
        <v>8568.7999999999993</v>
      </c>
      <c r="AB20" s="11">
        <f t="shared" si="18"/>
        <v>11369</v>
      </c>
      <c r="AC20" s="11">
        <f t="shared" si="19"/>
        <v>6159</v>
      </c>
      <c r="AE20" s="11">
        <f t="shared" si="20"/>
        <v>-7369.7999999999993</v>
      </c>
      <c r="AF20" s="11">
        <f t="shared" si="21"/>
        <v>-10170</v>
      </c>
      <c r="AG20" s="11">
        <f t="shared" si="22"/>
        <v>-4960</v>
      </c>
      <c r="AI20" s="11">
        <f t="shared" si="23"/>
        <v>-1568.7999999999993</v>
      </c>
      <c r="AJ20" s="11">
        <f t="shared" si="24"/>
        <v>-4369</v>
      </c>
      <c r="AK20" s="11">
        <f t="shared" si="25"/>
        <v>841</v>
      </c>
    </row>
    <row r="21" spans="1:37" s="29" customFormat="1" x14ac:dyDescent="0.2">
      <c r="A21" s="2"/>
      <c r="B21" s="2"/>
      <c r="C21" s="2"/>
      <c r="D21" s="2"/>
      <c r="E21" s="2"/>
      <c r="F21" s="2" t="s">
        <v>17</v>
      </c>
      <c r="G21" s="2"/>
      <c r="H21" s="8"/>
      <c r="I21" s="8">
        <f>ROUND(SUM(I15:I20),5)</f>
        <v>311317</v>
      </c>
      <c r="J21" s="8"/>
      <c r="K21" s="8">
        <f>ROUND(SUM(K15:K20),5)</f>
        <v>394069</v>
      </c>
      <c r="L21" s="8"/>
      <c r="M21" s="8">
        <f>ROUND(SUM(M15:M20),5)</f>
        <v>371023</v>
      </c>
      <c r="N21" s="8"/>
      <c r="O21" s="8">
        <f>ROUND(SUM(O15:O20),5)</f>
        <v>310464.69</v>
      </c>
      <c r="P21" s="8"/>
      <c r="Q21" s="8">
        <f>ROUND(SUM(Q15:Q20),5)</f>
        <v>331338.40000000002</v>
      </c>
      <c r="R21" s="8"/>
      <c r="S21" s="8"/>
      <c r="T21" s="8"/>
      <c r="U21" s="30">
        <f>ROUND(SUM(U15:U20),5)</f>
        <v>112671</v>
      </c>
      <c r="V21" s="8"/>
      <c r="W21" s="30">
        <f>ROUND(SUM(W15:W20),5)</f>
        <v>324500</v>
      </c>
      <c r="Y21" s="75">
        <f>ROUND(SUM(Y15:Y20),5)</f>
        <v>333500</v>
      </c>
      <c r="AA21" s="8">
        <f t="shared" ref="AA21:AC21" si="26">ROUND(SUM(AA15:AA20),5)</f>
        <v>344375.13549999997</v>
      </c>
      <c r="AB21" s="8">
        <f t="shared" si="26"/>
        <v>405473.35</v>
      </c>
      <c r="AC21" s="8">
        <f t="shared" si="26"/>
        <v>273746.32</v>
      </c>
      <c r="AE21" s="8">
        <f t="shared" ref="AE21" si="27">ROUND(SUM(AE15:AE20),5)</f>
        <v>-231704.1355</v>
      </c>
      <c r="AF21" s="8">
        <f t="shared" ref="AF21" si="28">ROUND(SUM(AF15:AF20),5)</f>
        <v>-292802.34999999998</v>
      </c>
      <c r="AG21" s="8">
        <f t="shared" ref="AG21" si="29">ROUND(SUM(AG15:AG20),5)</f>
        <v>-161075.32</v>
      </c>
      <c r="AI21" s="8"/>
      <c r="AJ21" s="8"/>
      <c r="AK21" s="8"/>
    </row>
    <row r="22" spans="1:37" s="29" customFormat="1" x14ac:dyDescent="0.2">
      <c r="A22" s="2"/>
      <c r="B22" s="2"/>
      <c r="C22" s="2"/>
      <c r="D22" s="2"/>
      <c r="E22" s="2"/>
      <c r="F22" s="2" t="s">
        <v>18</v>
      </c>
      <c r="G22" s="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Y22" s="8"/>
      <c r="AA22" s="8"/>
      <c r="AB22" s="8"/>
      <c r="AC22" s="8"/>
      <c r="AE22" s="8"/>
      <c r="AF22" s="8"/>
      <c r="AG22" s="8"/>
      <c r="AI22" s="8"/>
      <c r="AJ22" s="8"/>
      <c r="AK22" s="8"/>
    </row>
    <row r="23" spans="1:37" s="29" customFormat="1" x14ac:dyDescent="0.2">
      <c r="A23" s="2"/>
      <c r="B23" s="2"/>
      <c r="C23" s="2"/>
      <c r="D23" s="2"/>
      <c r="E23" s="2"/>
      <c r="F23" s="2"/>
      <c r="G23" s="2" t="s">
        <v>19</v>
      </c>
      <c r="H23" s="8"/>
      <c r="I23" s="8">
        <v>254415</v>
      </c>
      <c r="J23" s="8"/>
      <c r="K23" s="8">
        <v>266622</v>
      </c>
      <c r="L23" s="8"/>
      <c r="M23" s="8">
        <v>270431</v>
      </c>
      <c r="N23" s="8"/>
      <c r="O23" s="8">
        <v>274598.71000000002</v>
      </c>
      <c r="P23" s="8"/>
      <c r="Q23" s="8">
        <v>285640</v>
      </c>
      <c r="R23" s="8"/>
      <c r="S23" s="8"/>
      <c r="T23" s="8"/>
      <c r="U23" s="47">
        <v>293826</v>
      </c>
      <c r="V23" s="8"/>
      <c r="W23" s="47">
        <v>286000</v>
      </c>
      <c r="Y23" s="73">
        <v>320000</v>
      </c>
      <c r="AA23" s="8">
        <f t="shared" ref="AA23:AA25" si="30">AVERAGE(I23:Q23)</f>
        <v>270341.342</v>
      </c>
      <c r="AB23" s="8">
        <f t="shared" ref="AB23:AB25" si="31">MAX(I23:Q23)</f>
        <v>285640</v>
      </c>
      <c r="AC23" s="8">
        <f t="shared" ref="AC23:AC25" si="32">MIN(I23:Q23)</f>
        <v>254415</v>
      </c>
      <c r="AE23" s="8">
        <f t="shared" ref="AE23:AE25" si="33">+U23-AA23</f>
        <v>23484.657999999996</v>
      </c>
      <c r="AF23" s="8">
        <f t="shared" ref="AF23:AF25" si="34">+U23-AB23</f>
        <v>8186</v>
      </c>
      <c r="AG23" s="8">
        <f t="shared" ref="AG23:AG25" si="35">+U23-AC23</f>
        <v>39411</v>
      </c>
      <c r="AI23" s="8">
        <f t="shared" ref="AI23:AI25" si="36">+W23-AA23</f>
        <v>15658.657999999996</v>
      </c>
      <c r="AJ23" s="8">
        <f t="shared" ref="AJ23:AJ25" si="37">+W23-AB23</f>
        <v>360</v>
      </c>
      <c r="AK23" s="8">
        <f t="shared" ref="AK23:AK25" si="38">+W23-AC23</f>
        <v>31585</v>
      </c>
    </row>
    <row r="24" spans="1:37" s="29" customFormat="1" x14ac:dyDescent="0.2">
      <c r="A24" s="2"/>
      <c r="B24" s="2"/>
      <c r="C24" s="2"/>
      <c r="D24" s="2"/>
      <c r="E24" s="2"/>
      <c r="F24" s="2"/>
      <c r="G24" s="2" t="s">
        <v>20</v>
      </c>
      <c r="H24" s="8"/>
      <c r="I24" s="8">
        <v>303980</v>
      </c>
      <c r="J24" s="8"/>
      <c r="K24" s="8">
        <v>331071</v>
      </c>
      <c r="L24" s="8"/>
      <c r="M24" s="8">
        <v>325491</v>
      </c>
      <c r="N24" s="8"/>
      <c r="O24" s="8">
        <v>344710.13</v>
      </c>
      <c r="P24" s="8"/>
      <c r="Q24" s="8">
        <v>257379.9</v>
      </c>
      <c r="R24" s="8"/>
      <c r="S24" s="8"/>
      <c r="T24" s="8"/>
      <c r="U24" s="47">
        <v>364557.44</v>
      </c>
      <c r="V24" s="8"/>
      <c r="W24" s="47">
        <v>327000</v>
      </c>
      <c r="Y24" s="88">
        <v>435000</v>
      </c>
      <c r="AA24" s="8">
        <f t="shared" si="30"/>
        <v>312526.40599999996</v>
      </c>
      <c r="AB24" s="8">
        <f t="shared" si="31"/>
        <v>344710.13</v>
      </c>
      <c r="AC24" s="8">
        <f t="shared" si="32"/>
        <v>257379.9</v>
      </c>
      <c r="AE24" s="8">
        <f t="shared" si="33"/>
        <v>52031.034000000043</v>
      </c>
      <c r="AF24" s="8">
        <f t="shared" si="34"/>
        <v>19847.309999999998</v>
      </c>
      <c r="AG24" s="8">
        <f t="shared" si="35"/>
        <v>107177.54000000001</v>
      </c>
      <c r="AI24" s="8">
        <f t="shared" si="36"/>
        <v>14473.594000000041</v>
      </c>
      <c r="AJ24" s="8">
        <f t="shared" si="37"/>
        <v>-17710.130000000005</v>
      </c>
      <c r="AK24" s="8">
        <f t="shared" si="38"/>
        <v>69620.100000000006</v>
      </c>
    </row>
    <row r="25" spans="1:37" s="29" customFormat="1" ht="10.8" thickBot="1" x14ac:dyDescent="0.25">
      <c r="A25" s="2"/>
      <c r="B25" s="2"/>
      <c r="C25" s="2"/>
      <c r="D25" s="2"/>
      <c r="E25" s="2"/>
      <c r="F25" s="2"/>
      <c r="G25" s="2" t="s">
        <v>21</v>
      </c>
      <c r="H25" s="8"/>
      <c r="I25" s="11">
        <v>182345</v>
      </c>
      <c r="J25" s="8"/>
      <c r="K25" s="11">
        <v>228941</v>
      </c>
      <c r="L25" s="8"/>
      <c r="M25" s="11">
        <v>220681</v>
      </c>
      <c r="N25" s="8"/>
      <c r="O25" s="11">
        <v>182668.11</v>
      </c>
      <c r="P25" s="11"/>
      <c r="Q25" s="11">
        <v>327524.28999999998</v>
      </c>
      <c r="R25" s="9"/>
      <c r="S25" s="9"/>
      <c r="T25" s="8"/>
      <c r="U25" s="39">
        <v>344572.12</v>
      </c>
      <c r="V25" s="8"/>
      <c r="W25" s="39">
        <v>257000</v>
      </c>
      <c r="Y25" s="89">
        <v>440000</v>
      </c>
      <c r="AA25" s="11">
        <f t="shared" si="30"/>
        <v>228431.87999999998</v>
      </c>
      <c r="AB25" s="11">
        <f t="shared" si="31"/>
        <v>327524.28999999998</v>
      </c>
      <c r="AC25" s="11">
        <f t="shared" si="32"/>
        <v>182345</v>
      </c>
      <c r="AE25" s="11">
        <f t="shared" si="33"/>
        <v>116140.24000000002</v>
      </c>
      <c r="AF25" s="11">
        <f t="shared" si="34"/>
        <v>17047.830000000016</v>
      </c>
      <c r="AG25" s="11">
        <f t="shared" si="35"/>
        <v>162227.12</v>
      </c>
      <c r="AI25" s="11">
        <f t="shared" si="36"/>
        <v>28568.120000000024</v>
      </c>
      <c r="AJ25" s="11">
        <f t="shared" si="37"/>
        <v>-70524.289999999979</v>
      </c>
      <c r="AK25" s="11">
        <f t="shared" si="38"/>
        <v>74655</v>
      </c>
    </row>
    <row r="26" spans="1:37" s="29" customFormat="1" x14ac:dyDescent="0.2">
      <c r="A26" s="2"/>
      <c r="B26" s="2"/>
      <c r="C26" s="2"/>
      <c r="D26" s="2"/>
      <c r="E26" s="2"/>
      <c r="F26" s="2" t="s">
        <v>22</v>
      </c>
      <c r="G26" s="2"/>
      <c r="H26" s="8"/>
      <c r="I26" s="8">
        <f>ROUND(SUM(I22:I25),5)</f>
        <v>740740</v>
      </c>
      <c r="J26" s="8"/>
      <c r="K26" s="8">
        <f>ROUND(SUM(K22:K25),5)</f>
        <v>826634</v>
      </c>
      <c r="L26" s="8"/>
      <c r="M26" s="8">
        <f>ROUND(SUM(M22:M25),5)</f>
        <v>816603</v>
      </c>
      <c r="N26" s="8"/>
      <c r="O26" s="8">
        <f>ROUND(SUM(O22:O25),5)</f>
        <v>801976.95</v>
      </c>
      <c r="P26" s="8"/>
      <c r="Q26" s="8">
        <f>ROUND(SUM(Q22:Q25),5)</f>
        <v>870544.19</v>
      </c>
      <c r="R26" s="8"/>
      <c r="S26" s="8"/>
      <c r="T26" s="8"/>
      <c r="U26" s="30">
        <f>ROUND(SUM(U22:U25),5)</f>
        <v>1002955.56</v>
      </c>
      <c r="V26" s="8"/>
      <c r="W26" s="30">
        <f>ROUND(SUM(W22:W25),5)</f>
        <v>870000</v>
      </c>
      <c r="Y26" s="31">
        <f>ROUND(SUM(Y22:Y25),5)</f>
        <v>1195000</v>
      </c>
      <c r="AA26" s="8">
        <f t="shared" ref="AA26:AC26" si="39">ROUND(SUM(AA22:AA25),5)</f>
        <v>811299.62800000003</v>
      </c>
      <c r="AB26" s="8">
        <f t="shared" si="39"/>
        <v>957874.42</v>
      </c>
      <c r="AC26" s="8">
        <f t="shared" si="39"/>
        <v>694139.9</v>
      </c>
      <c r="AE26" s="8">
        <f t="shared" ref="AE26" si="40">ROUND(SUM(AE22:AE25),5)</f>
        <v>191655.932</v>
      </c>
      <c r="AF26" s="8">
        <f t="shared" ref="AF26" si="41">ROUND(SUM(AF22:AF25),5)</f>
        <v>45081.14</v>
      </c>
      <c r="AG26" s="8">
        <f t="shared" ref="AG26" si="42">ROUND(SUM(AG22:AG25),5)</f>
        <v>308815.65999999997</v>
      </c>
      <c r="AI26" s="8"/>
      <c r="AJ26" s="8"/>
      <c r="AK26" s="8"/>
    </row>
    <row r="27" spans="1:37" s="29" customFormat="1" x14ac:dyDescent="0.2">
      <c r="A27" s="2"/>
      <c r="B27" s="2"/>
      <c r="C27" s="2"/>
      <c r="D27" s="2"/>
      <c r="E27" s="2"/>
      <c r="F27" s="2" t="s">
        <v>23</v>
      </c>
      <c r="G27" s="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Y27" s="8"/>
      <c r="AA27" s="8"/>
      <c r="AB27" s="8"/>
      <c r="AC27" s="8"/>
      <c r="AE27" s="8"/>
      <c r="AF27" s="8"/>
      <c r="AG27" s="8"/>
      <c r="AI27" s="8"/>
      <c r="AJ27" s="8"/>
      <c r="AK27" s="8"/>
    </row>
    <row r="28" spans="1:37" s="29" customFormat="1" x14ac:dyDescent="0.2">
      <c r="A28" s="2"/>
      <c r="B28" s="2"/>
      <c r="C28" s="2"/>
      <c r="D28" s="2"/>
      <c r="E28" s="2"/>
      <c r="F28" s="2"/>
      <c r="G28" s="2" t="s">
        <v>24</v>
      </c>
      <c r="H28" s="8"/>
      <c r="I28" s="8">
        <v>295226</v>
      </c>
      <c r="J28" s="8"/>
      <c r="K28" s="8">
        <v>386141</v>
      </c>
      <c r="L28" s="8"/>
      <c r="M28" s="8">
        <v>363570</v>
      </c>
      <c r="N28" s="8"/>
      <c r="O28" s="8">
        <v>484621.34</v>
      </c>
      <c r="P28" s="8"/>
      <c r="Q28" s="8">
        <v>560337.82999999996</v>
      </c>
      <c r="R28" s="8"/>
      <c r="S28" s="8"/>
      <c r="T28" s="8"/>
      <c r="U28" s="46">
        <v>247866.23999999999</v>
      </c>
      <c r="V28" s="8"/>
      <c r="W28" s="46">
        <v>360000</v>
      </c>
      <c r="Y28" s="88">
        <v>330000</v>
      </c>
      <c r="AA28" s="8">
        <f t="shared" ref="AA28:AA30" si="43">AVERAGE(I28:Q28)</f>
        <v>417979.234</v>
      </c>
      <c r="AB28" s="8">
        <f t="shared" ref="AB28:AB30" si="44">MAX(I28:Q28)</f>
        <v>560337.82999999996</v>
      </c>
      <c r="AC28" s="8">
        <f t="shared" ref="AC28:AC30" si="45">MIN(I28:Q28)</f>
        <v>295226</v>
      </c>
      <c r="AE28" s="8">
        <f t="shared" ref="AE28:AE30" si="46">+U28-AA28</f>
        <v>-170112.99400000001</v>
      </c>
      <c r="AF28" s="8">
        <f t="shared" ref="AF28:AF30" si="47">+U28-AB28</f>
        <v>-312471.58999999997</v>
      </c>
      <c r="AG28" s="8">
        <f t="shared" ref="AG28:AG30" si="48">+U28-AC28</f>
        <v>-47359.760000000009</v>
      </c>
      <c r="AI28" s="8">
        <f t="shared" ref="AI28:AI30" si="49">+W28-AA28</f>
        <v>-57979.233999999997</v>
      </c>
      <c r="AJ28" s="8">
        <f t="shared" ref="AJ28:AJ30" si="50">+W28-AB28</f>
        <v>-200337.82999999996</v>
      </c>
      <c r="AK28" s="8">
        <f t="shared" ref="AK28:AK30" si="51">+W28-AC28</f>
        <v>64774</v>
      </c>
    </row>
    <row r="29" spans="1:37" s="29" customFormat="1" x14ac:dyDescent="0.2">
      <c r="A29" s="2"/>
      <c r="B29" s="2"/>
      <c r="C29" s="2"/>
      <c r="D29" s="2"/>
      <c r="E29" s="2"/>
      <c r="F29" s="2"/>
      <c r="G29" s="2" t="s">
        <v>25</v>
      </c>
      <c r="H29" s="8"/>
      <c r="I29" s="8">
        <v>14510</v>
      </c>
      <c r="J29" s="8"/>
      <c r="K29" s="8">
        <v>12680</v>
      </c>
      <c r="L29" s="8"/>
      <c r="M29" s="8">
        <v>8510</v>
      </c>
      <c r="N29" s="8"/>
      <c r="O29" s="8">
        <v>18517.7</v>
      </c>
      <c r="P29" s="8"/>
      <c r="Q29" s="8">
        <v>21124</v>
      </c>
      <c r="R29" s="8"/>
      <c r="S29" s="8"/>
      <c r="T29" s="8"/>
      <c r="U29" s="47">
        <v>20662.150000000001</v>
      </c>
      <c r="V29" s="8"/>
      <c r="W29" s="47">
        <v>19000</v>
      </c>
      <c r="Y29" s="73">
        <v>21500</v>
      </c>
      <c r="AA29" s="8">
        <f t="shared" si="43"/>
        <v>15068.34</v>
      </c>
      <c r="AB29" s="8">
        <f t="shared" si="44"/>
        <v>21124</v>
      </c>
      <c r="AC29" s="8">
        <f t="shared" si="45"/>
        <v>8510</v>
      </c>
      <c r="AE29" s="8">
        <f t="shared" si="46"/>
        <v>5593.8100000000013</v>
      </c>
      <c r="AF29" s="8">
        <f t="shared" si="47"/>
        <v>-461.84999999999854</v>
      </c>
      <c r="AG29" s="8">
        <f t="shared" si="48"/>
        <v>12152.150000000001</v>
      </c>
      <c r="AI29" s="8">
        <f t="shared" si="49"/>
        <v>3931.66</v>
      </c>
      <c r="AJ29" s="8">
        <f t="shared" si="50"/>
        <v>-2124</v>
      </c>
      <c r="AK29" s="8">
        <f t="shared" si="51"/>
        <v>10490</v>
      </c>
    </row>
    <row r="30" spans="1:37" s="29" customFormat="1" ht="10.8" thickBot="1" x14ac:dyDescent="0.25">
      <c r="A30" s="2"/>
      <c r="B30" s="2"/>
      <c r="C30" s="2"/>
      <c r="D30" s="2"/>
      <c r="E30" s="2"/>
      <c r="F30" s="2"/>
      <c r="G30" s="2" t="s">
        <v>26</v>
      </c>
      <c r="H30" s="8"/>
      <c r="I30" s="9">
        <v>26730</v>
      </c>
      <c r="J30" s="8"/>
      <c r="K30" s="9">
        <v>31912</v>
      </c>
      <c r="L30" s="8"/>
      <c r="M30" s="9">
        <v>28139</v>
      </c>
      <c r="N30" s="8"/>
      <c r="O30" s="9">
        <v>30543.7</v>
      </c>
      <c r="P30" s="9"/>
      <c r="Q30" s="8">
        <v>24565</v>
      </c>
      <c r="R30" s="9"/>
      <c r="S30" s="9"/>
      <c r="T30" s="8"/>
      <c r="U30" s="48">
        <v>19680</v>
      </c>
      <c r="V30" s="8"/>
      <c r="W30" s="48">
        <v>28000</v>
      </c>
      <c r="Y30" s="90">
        <v>20000</v>
      </c>
      <c r="AA30" s="9">
        <f t="shared" si="43"/>
        <v>28377.940000000002</v>
      </c>
      <c r="AB30" s="9">
        <f t="shared" si="44"/>
        <v>31912</v>
      </c>
      <c r="AC30" s="9">
        <f t="shared" si="45"/>
        <v>24565</v>
      </c>
      <c r="AE30" s="9">
        <f t="shared" si="46"/>
        <v>-8697.9400000000023</v>
      </c>
      <c r="AF30" s="9">
        <f t="shared" si="47"/>
        <v>-12232</v>
      </c>
      <c r="AG30" s="9">
        <f t="shared" si="48"/>
        <v>-4885</v>
      </c>
      <c r="AI30" s="9">
        <f t="shared" si="49"/>
        <v>-377.94000000000233</v>
      </c>
      <c r="AJ30" s="9">
        <f t="shared" si="50"/>
        <v>-3912</v>
      </c>
      <c r="AK30" s="9">
        <f t="shared" si="51"/>
        <v>3435</v>
      </c>
    </row>
    <row r="31" spans="1:37" s="29" customFormat="1" ht="10.8" thickBot="1" x14ac:dyDescent="0.25">
      <c r="A31" s="2"/>
      <c r="B31" s="2"/>
      <c r="C31" s="2"/>
      <c r="D31" s="2"/>
      <c r="E31" s="2"/>
      <c r="F31" s="2" t="s">
        <v>27</v>
      </c>
      <c r="G31" s="2"/>
      <c r="H31" s="8"/>
      <c r="I31" s="10">
        <f>ROUND(SUM(I27:I30),5)</f>
        <v>336466</v>
      </c>
      <c r="J31" s="8"/>
      <c r="K31" s="10">
        <f>ROUND(SUM(K27:K30),5)</f>
        <v>430733</v>
      </c>
      <c r="L31" s="8"/>
      <c r="M31" s="10">
        <f>ROUND(SUM(M27:M30),5)</f>
        <v>400219</v>
      </c>
      <c r="N31" s="8"/>
      <c r="O31" s="10">
        <f>ROUND(SUM(O27:O30),5)</f>
        <v>533682.74</v>
      </c>
      <c r="P31" s="10"/>
      <c r="Q31" s="10">
        <f>ROUND(SUM(Q27:Q30),5)</f>
        <v>606026.82999999996</v>
      </c>
      <c r="R31" s="9"/>
      <c r="S31" s="9"/>
      <c r="T31" s="8"/>
      <c r="U31" s="37">
        <f>ROUND(SUM(U27:U30),5)</f>
        <v>288208.39</v>
      </c>
      <c r="V31" s="8"/>
      <c r="W31" s="37">
        <f>ROUND(SUM(W27:W30),5)</f>
        <v>407000</v>
      </c>
      <c r="Y31" s="34">
        <f>ROUND(SUM(Y27:Y30),5)</f>
        <v>371500</v>
      </c>
      <c r="AA31" s="10">
        <f t="shared" ref="AA31:AC31" si="52">ROUND(SUM(AA27:AA30),5)</f>
        <v>461425.51400000002</v>
      </c>
      <c r="AB31" s="10">
        <f t="shared" si="52"/>
        <v>613373.82999999996</v>
      </c>
      <c r="AC31" s="10">
        <f t="shared" si="52"/>
        <v>328301</v>
      </c>
      <c r="AE31" s="10">
        <f t="shared" ref="AE31" si="53">ROUND(SUM(AE27:AE30),5)</f>
        <v>-173217.12400000001</v>
      </c>
      <c r="AF31" s="10">
        <f t="shared" ref="AF31" si="54">ROUND(SUM(AF27:AF30),5)</f>
        <v>-325165.44</v>
      </c>
      <c r="AG31" s="10">
        <f t="shared" ref="AG31" si="55">ROUND(SUM(AG27:AG30),5)</f>
        <v>-40092.61</v>
      </c>
      <c r="AI31" s="10"/>
      <c r="AJ31" s="10"/>
      <c r="AK31" s="10"/>
    </row>
    <row r="32" spans="1:37" s="29" customFormat="1" x14ac:dyDescent="0.2">
      <c r="A32" s="2"/>
      <c r="B32" s="2"/>
      <c r="C32" s="2"/>
      <c r="D32" s="2"/>
      <c r="E32" s="2" t="s">
        <v>28</v>
      </c>
      <c r="F32" s="2"/>
      <c r="G32" s="2"/>
      <c r="H32" s="8"/>
      <c r="I32" s="8">
        <f>ROUND(I14+I21+I26+I31,5)</f>
        <v>1388523</v>
      </c>
      <c r="J32" s="8"/>
      <c r="K32" s="8">
        <f>ROUND(K14+K21+K26+K31,5)</f>
        <v>1651436</v>
      </c>
      <c r="L32" s="8"/>
      <c r="M32" s="8">
        <f>ROUND(M14+M21+M26+M31,5)</f>
        <v>1587845</v>
      </c>
      <c r="N32" s="8"/>
      <c r="O32" s="8">
        <f>ROUND(O14+O21+O26+O31,5)</f>
        <v>1646124.38</v>
      </c>
      <c r="P32" s="8"/>
      <c r="Q32" s="8">
        <f>ROUND(Q14+Q21+Q26+Q31,5)</f>
        <v>1807909.42</v>
      </c>
      <c r="R32" s="8"/>
      <c r="S32" s="8"/>
      <c r="T32" s="8"/>
      <c r="U32" s="31">
        <f>ROUND(U14+U21+U26+U31,5)</f>
        <v>1403834.95</v>
      </c>
      <c r="V32" s="8"/>
      <c r="W32" s="31">
        <f>ROUND(W14+W21+W26+W31,5)</f>
        <v>1601500</v>
      </c>
      <c r="Y32" s="31">
        <f>ROUND(Y14+Y21+Y26+Y31,5)</f>
        <v>1900000</v>
      </c>
      <c r="AA32" s="8">
        <f t="shared" ref="AA32:AC32" si="56">ROUND(AA14+AA21+AA26+AA31,5)</f>
        <v>1617100.2775000001</v>
      </c>
      <c r="AB32" s="8">
        <f t="shared" si="56"/>
        <v>1976721.6</v>
      </c>
      <c r="AC32" s="8">
        <f t="shared" si="56"/>
        <v>1296187.22</v>
      </c>
      <c r="AE32" s="8">
        <f t="shared" ref="AE32" si="57">ROUND(AE14+AE21+AE26+AE31,5)</f>
        <v>-213265.32750000001</v>
      </c>
      <c r="AF32" s="8">
        <f t="shared" ref="AF32" si="58">ROUND(AF14+AF21+AF26+AF31,5)</f>
        <v>-572886.65</v>
      </c>
      <c r="AG32" s="8">
        <f t="shared" ref="AG32" si="59">ROUND(AG14+AG21+AG26+AG31,5)</f>
        <v>107647.73</v>
      </c>
      <c r="AI32" s="8"/>
      <c r="AJ32" s="8"/>
      <c r="AK32" s="8"/>
    </row>
    <row r="33" spans="1:37" s="29" customFormat="1" x14ac:dyDescent="0.2">
      <c r="A33" s="2"/>
      <c r="B33" s="2"/>
      <c r="C33" s="2"/>
      <c r="D33" s="2"/>
      <c r="E33" s="2" t="s">
        <v>29</v>
      </c>
      <c r="F33" s="2"/>
      <c r="G33" s="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Y33" s="8"/>
      <c r="AA33" s="8"/>
      <c r="AB33" s="8"/>
      <c r="AC33" s="8"/>
      <c r="AE33" s="8"/>
      <c r="AF33" s="8"/>
      <c r="AG33" s="8"/>
      <c r="AI33" s="8"/>
      <c r="AJ33" s="8"/>
      <c r="AK33" s="8"/>
    </row>
    <row r="34" spans="1:37" s="29" customFormat="1" x14ac:dyDescent="0.2">
      <c r="A34" s="2"/>
      <c r="B34" s="2"/>
      <c r="C34" s="2"/>
      <c r="D34" s="2"/>
      <c r="E34" s="2"/>
      <c r="F34" s="2" t="s">
        <v>30</v>
      </c>
      <c r="G34" s="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Y34" s="8"/>
      <c r="AA34" s="8"/>
      <c r="AB34" s="8"/>
      <c r="AC34" s="8"/>
      <c r="AE34" s="8"/>
      <c r="AF34" s="8"/>
      <c r="AG34" s="8"/>
      <c r="AI34" s="8"/>
      <c r="AJ34" s="8"/>
      <c r="AK34" s="8"/>
    </row>
    <row r="35" spans="1:37" s="29" customFormat="1" x14ac:dyDescent="0.2">
      <c r="A35" s="2"/>
      <c r="B35" s="2"/>
      <c r="C35" s="2"/>
      <c r="D35" s="2"/>
      <c r="E35" s="2"/>
      <c r="F35" s="2"/>
      <c r="G35" s="51" t="s">
        <v>31</v>
      </c>
      <c r="H35" s="8"/>
      <c r="I35" s="8">
        <v>284400</v>
      </c>
      <c r="J35" s="8"/>
      <c r="K35" s="8">
        <v>254894</v>
      </c>
      <c r="L35" s="8"/>
      <c r="M35" s="8">
        <v>246030</v>
      </c>
      <c r="N35" s="8"/>
      <c r="O35" s="8">
        <v>256491.94</v>
      </c>
      <c r="P35" s="8"/>
      <c r="Q35" s="8">
        <v>221361.87</v>
      </c>
      <c r="R35" s="8"/>
      <c r="S35" s="8"/>
      <c r="T35" s="8"/>
      <c r="U35" s="46">
        <v>241056.37</v>
      </c>
      <c r="V35" s="8"/>
      <c r="W35" s="46">
        <v>246000</v>
      </c>
      <c r="Y35" s="73">
        <v>250000</v>
      </c>
      <c r="AA35" s="8">
        <f t="shared" ref="AA35:AA37" si="60">AVERAGE(I35:Q35)</f>
        <v>252635.56200000001</v>
      </c>
      <c r="AB35" s="8">
        <f t="shared" ref="AB35:AB37" si="61">MAX(I35:Q35)</f>
        <v>284400</v>
      </c>
      <c r="AC35" s="8">
        <f t="shared" ref="AC35:AC37" si="62">MIN(I35:Q35)</f>
        <v>221361.87</v>
      </c>
      <c r="AE35" s="8">
        <f t="shared" ref="AE35:AE37" si="63">+U35-AA35</f>
        <v>-11579.19200000001</v>
      </c>
      <c r="AF35" s="8">
        <f t="shared" ref="AF35:AF37" si="64">+U35-AB35</f>
        <v>-43343.630000000005</v>
      </c>
      <c r="AG35" s="8">
        <f t="shared" ref="AG35:AG37" si="65">+U35-AC35</f>
        <v>19694.5</v>
      </c>
      <c r="AI35" s="8">
        <f t="shared" ref="AI35:AI37" si="66">+W35-AA35</f>
        <v>-6635.5620000000054</v>
      </c>
      <c r="AJ35" s="8">
        <f t="shared" ref="AJ35:AJ37" si="67">+W35-AB35</f>
        <v>-38400</v>
      </c>
      <c r="AK35" s="8">
        <f t="shared" ref="AK35:AK37" si="68">+W35-AC35</f>
        <v>24638.130000000005</v>
      </c>
    </row>
    <row r="36" spans="1:37" s="29" customFormat="1" x14ac:dyDescent="0.2">
      <c r="A36" s="2"/>
      <c r="B36" s="2"/>
      <c r="C36" s="2"/>
      <c r="D36" s="2"/>
      <c r="E36" s="2"/>
      <c r="F36" s="2"/>
      <c r="G36" s="2" t="s">
        <v>32</v>
      </c>
      <c r="H36" s="8"/>
      <c r="I36" s="8">
        <v>30680</v>
      </c>
      <c r="J36" s="8"/>
      <c r="K36" s="8">
        <v>33981</v>
      </c>
      <c r="L36" s="8"/>
      <c r="M36" s="8">
        <v>22642</v>
      </c>
      <c r="N36" s="8"/>
      <c r="O36" s="8">
        <v>8837.2199999999993</v>
      </c>
      <c r="P36" s="8"/>
      <c r="Q36" s="8">
        <v>23996.09</v>
      </c>
      <c r="R36" s="8"/>
      <c r="S36" s="8"/>
      <c r="T36" s="8"/>
      <c r="U36" s="47">
        <v>6196.71</v>
      </c>
      <c r="V36" s="8"/>
      <c r="W36" s="47">
        <v>20000</v>
      </c>
      <c r="Y36" s="73">
        <v>8000</v>
      </c>
      <c r="AA36" s="8">
        <f t="shared" si="60"/>
        <v>24027.261999999999</v>
      </c>
      <c r="AB36" s="8">
        <f t="shared" si="61"/>
        <v>33981</v>
      </c>
      <c r="AC36" s="8">
        <f t="shared" si="62"/>
        <v>8837.2199999999993</v>
      </c>
      <c r="AE36" s="8">
        <f t="shared" si="63"/>
        <v>-17830.552</v>
      </c>
      <c r="AF36" s="8">
        <f t="shared" si="64"/>
        <v>-27784.29</v>
      </c>
      <c r="AG36" s="8">
        <f t="shared" si="65"/>
        <v>-2640.5099999999993</v>
      </c>
      <c r="AI36" s="8">
        <f t="shared" si="66"/>
        <v>-4027.2619999999988</v>
      </c>
      <c r="AJ36" s="8">
        <f t="shared" si="67"/>
        <v>-13981</v>
      </c>
      <c r="AK36" s="8">
        <f t="shared" si="68"/>
        <v>11162.78</v>
      </c>
    </row>
    <row r="37" spans="1:37" s="29" customFormat="1" ht="10.8" thickBot="1" x14ac:dyDescent="0.25">
      <c r="A37" s="2"/>
      <c r="B37" s="2"/>
      <c r="C37" s="2"/>
      <c r="D37" s="2"/>
      <c r="E37" s="2"/>
      <c r="F37" s="2"/>
      <c r="G37" s="51" t="s">
        <v>33</v>
      </c>
      <c r="H37" s="8"/>
      <c r="I37" s="11">
        <v>2790</v>
      </c>
      <c r="J37" s="8"/>
      <c r="K37" s="11">
        <v>1820</v>
      </c>
      <c r="L37" s="8"/>
      <c r="M37" s="11">
        <v>30</v>
      </c>
      <c r="N37" s="8"/>
      <c r="O37" s="11">
        <v>0</v>
      </c>
      <c r="P37" s="11"/>
      <c r="Q37" s="11">
        <v>0</v>
      </c>
      <c r="R37" s="9"/>
      <c r="S37" s="9"/>
      <c r="T37" s="8"/>
      <c r="U37" s="39">
        <v>0</v>
      </c>
      <c r="V37" s="8"/>
      <c r="W37" s="39">
        <v>1500</v>
      </c>
      <c r="Y37" s="74">
        <v>0</v>
      </c>
      <c r="AA37" s="11">
        <f t="shared" si="60"/>
        <v>928</v>
      </c>
      <c r="AB37" s="11">
        <f t="shared" si="61"/>
        <v>2790</v>
      </c>
      <c r="AC37" s="11">
        <f t="shared" si="62"/>
        <v>0</v>
      </c>
      <c r="AE37" s="11">
        <f t="shared" si="63"/>
        <v>-928</v>
      </c>
      <c r="AF37" s="11">
        <f t="shared" si="64"/>
        <v>-2790</v>
      </c>
      <c r="AG37" s="11">
        <f t="shared" si="65"/>
        <v>0</v>
      </c>
      <c r="AI37" s="11">
        <f t="shared" si="66"/>
        <v>572</v>
      </c>
      <c r="AJ37" s="11">
        <f t="shared" si="67"/>
        <v>-1290</v>
      </c>
      <c r="AK37" s="11">
        <f t="shared" si="68"/>
        <v>1500</v>
      </c>
    </row>
    <row r="38" spans="1:37" s="29" customFormat="1" x14ac:dyDescent="0.2">
      <c r="A38" s="2"/>
      <c r="B38" s="2"/>
      <c r="C38" s="2"/>
      <c r="D38" s="2"/>
      <c r="E38" s="2"/>
      <c r="F38" s="2" t="s">
        <v>34</v>
      </c>
      <c r="G38" s="2"/>
      <c r="H38" s="8"/>
      <c r="I38" s="8">
        <f>ROUND(SUM(I34:I37),5)</f>
        <v>317870</v>
      </c>
      <c r="J38" s="8"/>
      <c r="K38" s="8">
        <f>ROUND(SUM(K34:K37),5)</f>
        <v>290695</v>
      </c>
      <c r="L38" s="8"/>
      <c r="M38" s="8">
        <f>ROUND(SUM(M34:M37),5)</f>
        <v>268702</v>
      </c>
      <c r="N38" s="8"/>
      <c r="O38" s="8">
        <f>ROUND(SUM(O34:O37),5)</f>
        <v>265329.15999999997</v>
      </c>
      <c r="P38" s="8"/>
      <c r="Q38" s="8">
        <f>ROUND(SUM(Q34:Q37),5)</f>
        <v>245357.96</v>
      </c>
      <c r="R38" s="8"/>
      <c r="S38" s="8"/>
      <c r="T38" s="8"/>
      <c r="U38" s="30">
        <f>ROUND(SUM(U34:U37),5)</f>
        <v>247253.08</v>
      </c>
      <c r="V38" s="8"/>
      <c r="W38" s="30">
        <f>ROUND(SUM(W34:W37),5)</f>
        <v>267500</v>
      </c>
      <c r="Y38" s="75">
        <f>ROUND(SUM(Y34:Y37),5)</f>
        <v>258000</v>
      </c>
      <c r="AA38" s="8">
        <f t="shared" ref="AA38:AC38" si="69">ROUND(SUM(AA34:AA37),5)</f>
        <v>277590.82400000002</v>
      </c>
      <c r="AB38" s="8">
        <f t="shared" si="69"/>
        <v>321171</v>
      </c>
      <c r="AC38" s="8">
        <f t="shared" si="69"/>
        <v>230199.09</v>
      </c>
      <c r="AE38" s="8">
        <f t="shared" ref="AE38" si="70">ROUND(SUM(AE34:AE37),5)</f>
        <v>-30337.743999999999</v>
      </c>
      <c r="AF38" s="8">
        <f t="shared" ref="AF38" si="71">ROUND(SUM(AF34:AF37),5)</f>
        <v>-73917.919999999998</v>
      </c>
      <c r="AG38" s="8">
        <f t="shared" ref="AG38" si="72">ROUND(SUM(AG34:AG37),5)</f>
        <v>17053.990000000002</v>
      </c>
      <c r="AI38" s="8"/>
      <c r="AJ38" s="8"/>
      <c r="AK38" s="8"/>
    </row>
    <row r="39" spans="1:37" s="29" customFormat="1" x14ac:dyDescent="0.2">
      <c r="A39" s="2"/>
      <c r="B39" s="2"/>
      <c r="C39" s="2"/>
      <c r="D39" s="2"/>
      <c r="E39" s="2"/>
      <c r="F39" s="2" t="s">
        <v>35</v>
      </c>
      <c r="G39" s="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Y39" s="8"/>
      <c r="AA39" s="8"/>
      <c r="AB39" s="8"/>
      <c r="AC39" s="8"/>
      <c r="AE39" s="8"/>
      <c r="AF39" s="8"/>
      <c r="AG39" s="8"/>
      <c r="AI39" s="8"/>
      <c r="AJ39" s="8"/>
      <c r="AK39" s="8"/>
    </row>
    <row r="40" spans="1:37" s="29" customFormat="1" x14ac:dyDescent="0.2">
      <c r="A40" s="2"/>
      <c r="B40" s="2"/>
      <c r="C40" s="2"/>
      <c r="D40" s="2"/>
      <c r="E40" s="2"/>
      <c r="F40" s="2"/>
      <c r="G40" s="51" t="s">
        <v>36</v>
      </c>
      <c r="H40" s="8"/>
      <c r="I40" s="8">
        <v>95754</v>
      </c>
      <c r="J40" s="8"/>
      <c r="K40" s="8">
        <v>89658</v>
      </c>
      <c r="L40" s="8"/>
      <c r="M40" s="8">
        <v>89975</v>
      </c>
      <c r="N40" s="8"/>
      <c r="O40" s="8">
        <v>80857.58</v>
      </c>
      <c r="P40" s="8"/>
      <c r="Q40" s="8">
        <v>69290.350000000006</v>
      </c>
      <c r="R40" s="8"/>
      <c r="S40" s="8"/>
      <c r="T40" s="8"/>
      <c r="U40" s="47">
        <v>49548.41</v>
      </c>
      <c r="V40" s="8"/>
      <c r="W40" s="47">
        <v>80000</v>
      </c>
      <c r="Y40" s="73">
        <v>70000</v>
      </c>
      <c r="AA40" s="8">
        <f t="shared" ref="AA40:AA45" si="73">AVERAGE(I40:Q40)</f>
        <v>85106.986000000004</v>
      </c>
      <c r="AB40" s="8">
        <f t="shared" ref="AB40:AB45" si="74">MAX(I40:Q40)</f>
        <v>95754</v>
      </c>
      <c r="AC40" s="8">
        <f t="shared" ref="AC40:AC45" si="75">MIN(I40:Q40)</f>
        <v>69290.350000000006</v>
      </c>
      <c r="AE40" s="8">
        <f t="shared" ref="AE40:AE45" si="76">+U40-AA40</f>
        <v>-35558.576000000001</v>
      </c>
      <c r="AF40" s="8">
        <f t="shared" ref="AF40:AF45" si="77">+U40-AB40</f>
        <v>-46205.59</v>
      </c>
      <c r="AG40" s="8">
        <f t="shared" ref="AG40:AG45" si="78">+U40-AC40</f>
        <v>-19741.940000000002</v>
      </c>
      <c r="AI40" s="8">
        <f t="shared" ref="AI40:AI45" si="79">+W40-AA40</f>
        <v>-5106.9860000000044</v>
      </c>
      <c r="AJ40" s="8">
        <f t="shared" ref="AJ40:AJ45" si="80">+W40-AB40</f>
        <v>-15754</v>
      </c>
      <c r="AK40" s="8">
        <f t="shared" ref="AK40:AK45" si="81">+W40-AC40</f>
        <v>10709.649999999994</v>
      </c>
    </row>
    <row r="41" spans="1:37" s="29" customFormat="1" x14ac:dyDescent="0.2">
      <c r="A41" s="2"/>
      <c r="B41" s="2"/>
      <c r="C41" s="2"/>
      <c r="D41" s="2"/>
      <c r="E41" s="2"/>
      <c r="F41" s="2"/>
      <c r="G41" s="51" t="s">
        <v>37</v>
      </c>
      <c r="H41" s="8"/>
      <c r="I41" s="8">
        <v>21087</v>
      </c>
      <c r="J41" s="8"/>
      <c r="K41" s="8">
        <v>17438</v>
      </c>
      <c r="L41" s="8"/>
      <c r="M41" s="8">
        <v>40343</v>
      </c>
      <c r="N41" s="8"/>
      <c r="O41" s="8">
        <v>19912.830000000002</v>
      </c>
      <c r="P41" s="8"/>
      <c r="Q41" s="8">
        <v>13208.75</v>
      </c>
      <c r="R41" s="8"/>
      <c r="S41" s="8"/>
      <c r="T41" s="8"/>
      <c r="U41" s="47">
        <v>8585.07</v>
      </c>
      <c r="V41" s="8"/>
      <c r="W41" s="47">
        <v>15000</v>
      </c>
      <c r="Y41" s="73">
        <v>15000</v>
      </c>
      <c r="AA41" s="8">
        <f t="shared" si="73"/>
        <v>22397.916000000001</v>
      </c>
      <c r="AB41" s="8">
        <f t="shared" si="74"/>
        <v>40343</v>
      </c>
      <c r="AC41" s="8">
        <f t="shared" si="75"/>
        <v>13208.75</v>
      </c>
      <c r="AE41" s="8">
        <f t="shared" si="76"/>
        <v>-13812.846000000001</v>
      </c>
      <c r="AF41" s="8">
        <f t="shared" si="77"/>
        <v>-31757.93</v>
      </c>
      <c r="AG41" s="8">
        <f t="shared" si="78"/>
        <v>-4623.68</v>
      </c>
      <c r="AI41" s="8">
        <f t="shared" si="79"/>
        <v>-7397.9160000000011</v>
      </c>
      <c r="AJ41" s="8">
        <f t="shared" si="80"/>
        <v>-25343</v>
      </c>
      <c r="AK41" s="8">
        <f t="shared" si="81"/>
        <v>1791.25</v>
      </c>
    </row>
    <row r="42" spans="1:37" s="29" customFormat="1" x14ac:dyDescent="0.2">
      <c r="A42" s="2"/>
      <c r="B42" s="2"/>
      <c r="C42" s="2"/>
      <c r="D42" s="2"/>
      <c r="E42" s="2"/>
      <c r="F42" s="2"/>
      <c r="G42" s="51" t="s">
        <v>38</v>
      </c>
      <c r="H42" s="8"/>
      <c r="I42" s="8">
        <v>6750</v>
      </c>
      <c r="J42" s="8"/>
      <c r="K42" s="8">
        <v>5893</v>
      </c>
      <c r="L42" s="8"/>
      <c r="M42" s="8">
        <v>3330</v>
      </c>
      <c r="N42" s="8"/>
      <c r="O42" s="8">
        <v>1580</v>
      </c>
      <c r="P42" s="8"/>
      <c r="Q42" s="8">
        <v>900</v>
      </c>
      <c r="R42" s="8"/>
      <c r="S42" s="8"/>
      <c r="T42" s="8"/>
      <c r="U42" s="47">
        <v>540</v>
      </c>
      <c r="V42" s="8"/>
      <c r="W42" s="47">
        <v>1000</v>
      </c>
      <c r="Y42" s="73">
        <v>750</v>
      </c>
      <c r="AA42" s="8">
        <f t="shared" si="73"/>
        <v>3690.6</v>
      </c>
      <c r="AB42" s="8">
        <f t="shared" si="74"/>
        <v>6750</v>
      </c>
      <c r="AC42" s="8">
        <f t="shared" si="75"/>
        <v>900</v>
      </c>
      <c r="AE42" s="8">
        <f t="shared" si="76"/>
        <v>-3150.6</v>
      </c>
      <c r="AF42" s="8">
        <f t="shared" si="77"/>
        <v>-6210</v>
      </c>
      <c r="AG42" s="8">
        <f t="shared" si="78"/>
        <v>-360</v>
      </c>
      <c r="AI42" s="8">
        <f t="shared" si="79"/>
        <v>-2690.6</v>
      </c>
      <c r="AJ42" s="8">
        <f t="shared" si="80"/>
        <v>-5750</v>
      </c>
      <c r="AK42" s="8">
        <f t="shared" si="81"/>
        <v>100</v>
      </c>
    </row>
    <row r="43" spans="1:37" s="29" customFormat="1" x14ac:dyDescent="0.2">
      <c r="A43" s="2"/>
      <c r="B43" s="2"/>
      <c r="C43" s="2"/>
      <c r="D43" s="2"/>
      <c r="E43" s="2"/>
      <c r="F43" s="2"/>
      <c r="G43" s="2" t="s">
        <v>39</v>
      </c>
      <c r="H43" s="8"/>
      <c r="I43" s="8">
        <v>108</v>
      </c>
      <c r="J43" s="8"/>
      <c r="K43" s="8">
        <v>488</v>
      </c>
      <c r="L43" s="8"/>
      <c r="M43" s="8">
        <v>1840</v>
      </c>
      <c r="N43" s="8"/>
      <c r="O43" s="8">
        <v>6174.9</v>
      </c>
      <c r="P43" s="8"/>
      <c r="Q43" s="8">
        <v>474.12</v>
      </c>
      <c r="R43" s="8"/>
      <c r="S43" s="8"/>
      <c r="T43" s="8"/>
      <c r="U43" s="47">
        <v>1674.17</v>
      </c>
      <c r="V43" s="8"/>
      <c r="W43" s="47">
        <v>200</v>
      </c>
      <c r="Y43" s="73">
        <v>500</v>
      </c>
      <c r="AA43" s="8">
        <f t="shared" si="73"/>
        <v>1817.0040000000001</v>
      </c>
      <c r="AB43" s="8">
        <f t="shared" si="74"/>
        <v>6174.9</v>
      </c>
      <c r="AC43" s="8">
        <f t="shared" si="75"/>
        <v>108</v>
      </c>
      <c r="AE43" s="8">
        <f t="shared" si="76"/>
        <v>-142.83400000000006</v>
      </c>
      <c r="AF43" s="8">
        <f t="shared" si="77"/>
        <v>-4500.7299999999996</v>
      </c>
      <c r="AG43" s="8">
        <f t="shared" si="78"/>
        <v>1566.17</v>
      </c>
      <c r="AI43" s="8">
        <f t="shared" si="79"/>
        <v>-1617.0040000000001</v>
      </c>
      <c r="AJ43" s="8">
        <f t="shared" si="80"/>
        <v>-5974.9</v>
      </c>
      <c r="AK43" s="8">
        <f t="shared" si="81"/>
        <v>92</v>
      </c>
    </row>
    <row r="44" spans="1:37" s="29" customFormat="1" x14ac:dyDescent="0.2">
      <c r="A44" s="2"/>
      <c r="B44" s="2"/>
      <c r="C44" s="2"/>
      <c r="D44" s="2"/>
      <c r="E44" s="2"/>
      <c r="F44" s="2"/>
      <c r="G44" s="2" t="s">
        <v>278</v>
      </c>
      <c r="H44" s="8"/>
      <c r="I44" s="8"/>
      <c r="J44" s="8"/>
      <c r="K44" s="8"/>
      <c r="L44" s="8"/>
      <c r="M44" s="8">
        <v>937</v>
      </c>
      <c r="N44" s="8"/>
      <c r="O44" s="8">
        <v>1171.75</v>
      </c>
      <c r="P44" s="8"/>
      <c r="Q44" s="8">
        <v>2385.5</v>
      </c>
      <c r="R44" s="8"/>
      <c r="S44" s="8"/>
      <c r="T44" s="8"/>
      <c r="U44" s="47">
        <v>1258.5</v>
      </c>
      <c r="V44" s="8"/>
      <c r="W44" s="47">
        <v>500</v>
      </c>
      <c r="Y44" s="73">
        <v>1200</v>
      </c>
      <c r="AA44" s="8">
        <f t="shared" si="73"/>
        <v>1498.0833333333333</v>
      </c>
      <c r="AB44" s="8">
        <f t="shared" si="74"/>
        <v>2385.5</v>
      </c>
      <c r="AC44" s="8">
        <f t="shared" si="75"/>
        <v>937</v>
      </c>
      <c r="AE44" s="8">
        <f t="shared" si="76"/>
        <v>-239.58333333333326</v>
      </c>
      <c r="AF44" s="8">
        <f t="shared" si="77"/>
        <v>-1127</v>
      </c>
      <c r="AG44" s="8">
        <f t="shared" si="78"/>
        <v>321.5</v>
      </c>
      <c r="AI44" s="8">
        <f t="shared" si="79"/>
        <v>-998.08333333333326</v>
      </c>
      <c r="AJ44" s="8">
        <f t="shared" si="80"/>
        <v>-1885.5</v>
      </c>
      <c r="AK44" s="8">
        <f t="shared" si="81"/>
        <v>-437</v>
      </c>
    </row>
    <row r="45" spans="1:37" s="29" customFormat="1" ht="10.8" thickBot="1" x14ac:dyDescent="0.25">
      <c r="A45" s="2"/>
      <c r="B45" s="2"/>
      <c r="C45" s="2"/>
      <c r="D45" s="2"/>
      <c r="E45" s="2"/>
      <c r="F45" s="2"/>
      <c r="G45" s="2" t="s">
        <v>40</v>
      </c>
      <c r="H45" s="8"/>
      <c r="I45" s="8">
        <v>4043</v>
      </c>
      <c r="J45" s="8"/>
      <c r="K45" s="8">
        <v>2342</v>
      </c>
      <c r="L45" s="8"/>
      <c r="M45" s="8">
        <v>3169</v>
      </c>
      <c r="N45" s="8"/>
      <c r="O45" s="8">
        <v>2061.34</v>
      </c>
      <c r="P45" s="8"/>
      <c r="Q45" s="8">
        <v>3106.5</v>
      </c>
      <c r="R45" s="8"/>
      <c r="S45" s="8"/>
      <c r="T45" s="8"/>
      <c r="U45" s="47">
        <v>1424.65</v>
      </c>
      <c r="V45" s="8"/>
      <c r="W45" s="47">
        <v>3000</v>
      </c>
      <c r="Y45" s="73">
        <v>2000</v>
      </c>
      <c r="AA45" s="8">
        <f t="shared" si="73"/>
        <v>2944.3679999999999</v>
      </c>
      <c r="AB45" s="8">
        <f t="shared" si="74"/>
        <v>4043</v>
      </c>
      <c r="AC45" s="8">
        <f t="shared" si="75"/>
        <v>2061.34</v>
      </c>
      <c r="AE45" s="8">
        <f t="shared" si="76"/>
        <v>-1519.7179999999998</v>
      </c>
      <c r="AF45" s="8">
        <f t="shared" si="77"/>
        <v>-2618.35</v>
      </c>
      <c r="AG45" s="8">
        <f t="shared" si="78"/>
        <v>-636.69000000000005</v>
      </c>
      <c r="AI45" s="8">
        <f t="shared" si="79"/>
        <v>55.632000000000062</v>
      </c>
      <c r="AJ45" s="8">
        <f t="shared" si="80"/>
        <v>-1043</v>
      </c>
      <c r="AK45" s="8">
        <f t="shared" si="81"/>
        <v>938.65999999999985</v>
      </c>
    </row>
    <row r="46" spans="1:37" s="29" customFormat="1" ht="10.8" thickBot="1" x14ac:dyDescent="0.25">
      <c r="A46" s="2"/>
      <c r="B46" s="2"/>
      <c r="C46" s="2"/>
      <c r="D46" s="2"/>
      <c r="E46" s="2"/>
      <c r="F46" s="2" t="s">
        <v>41</v>
      </c>
      <c r="G46" s="2"/>
      <c r="H46" s="8"/>
      <c r="I46" s="10">
        <f>ROUND(SUM(I39:I45),5)</f>
        <v>127742</v>
      </c>
      <c r="J46" s="8"/>
      <c r="K46" s="10">
        <f>ROUND(SUM(K39:K45),5)</f>
        <v>115819</v>
      </c>
      <c r="L46" s="8"/>
      <c r="M46" s="10">
        <f>ROUND(SUM(M39:M45),5)</f>
        <v>139594</v>
      </c>
      <c r="N46" s="8"/>
      <c r="O46" s="10">
        <f>ROUND(SUM(O39:O45),5)</f>
        <v>111758.39999999999</v>
      </c>
      <c r="P46" s="10"/>
      <c r="Q46" s="10">
        <f>ROUND(SUM(Q39:Q45),5)</f>
        <v>89365.22</v>
      </c>
      <c r="R46" s="9"/>
      <c r="S46" s="9"/>
      <c r="T46" s="8"/>
      <c r="U46" s="37">
        <f>ROUND(SUM(U39:U45),5)</f>
        <v>63030.8</v>
      </c>
      <c r="V46" s="8"/>
      <c r="W46" s="37">
        <f>ROUND(SUM(W39:W45),5)</f>
        <v>99700</v>
      </c>
      <c r="Y46" s="34">
        <f>ROUND(SUM(Y39:Y45),5)</f>
        <v>89450</v>
      </c>
      <c r="AA46" s="10">
        <f t="shared" ref="AA46:AC46" si="82">ROUND(SUM(AA39:AA45),5)</f>
        <v>117454.95733</v>
      </c>
      <c r="AB46" s="10">
        <f t="shared" si="82"/>
        <v>155450.4</v>
      </c>
      <c r="AC46" s="10">
        <f t="shared" si="82"/>
        <v>86505.44</v>
      </c>
      <c r="AE46" s="10">
        <f t="shared" ref="AE46" si="83">ROUND(SUM(AE39:AE45),5)</f>
        <v>-54424.157330000002</v>
      </c>
      <c r="AF46" s="10">
        <f t="shared" ref="AF46" si="84">ROUND(SUM(AF39:AF45),5)</f>
        <v>-92419.6</v>
      </c>
      <c r="AG46" s="10">
        <f t="shared" ref="AG46" si="85">ROUND(SUM(AG39:AG45),5)</f>
        <v>-23474.639999999999</v>
      </c>
      <c r="AI46" s="10"/>
      <c r="AJ46" s="10"/>
      <c r="AK46" s="10"/>
    </row>
    <row r="47" spans="1:37" s="29" customFormat="1" x14ac:dyDescent="0.2">
      <c r="A47" s="2"/>
      <c r="B47" s="2"/>
      <c r="C47" s="2"/>
      <c r="D47" s="2"/>
      <c r="E47" s="2" t="s">
        <v>42</v>
      </c>
      <c r="F47" s="2"/>
      <c r="G47" s="2"/>
      <c r="H47" s="8"/>
      <c r="I47" s="8">
        <f>ROUND(I33+I38+I46,5)</f>
        <v>445612</v>
      </c>
      <c r="J47" s="8"/>
      <c r="K47" s="8">
        <f>ROUND(K33+K38+K46,5)</f>
        <v>406514</v>
      </c>
      <c r="L47" s="8"/>
      <c r="M47" s="8">
        <f>ROUND(M33+M38+M46,5)</f>
        <v>408296</v>
      </c>
      <c r="N47" s="8"/>
      <c r="O47" s="8">
        <f>ROUND(O33+O38+O46,5)</f>
        <v>377087.56</v>
      </c>
      <c r="P47" s="8"/>
      <c r="Q47" s="8">
        <f>ROUND(Q33+Q38+Q46,5)</f>
        <v>334723.18</v>
      </c>
      <c r="R47" s="8"/>
      <c r="S47" s="8"/>
      <c r="T47" s="8"/>
      <c r="U47" s="31">
        <f>ROUND(U33+U38+U46,5)</f>
        <v>310283.88</v>
      </c>
      <c r="V47" s="8"/>
      <c r="W47" s="31">
        <f>ROUND(W33+W38+W46,5)</f>
        <v>367200</v>
      </c>
      <c r="Y47" s="31">
        <f>ROUND(Y33+Y38+Y46,5)</f>
        <v>347450</v>
      </c>
      <c r="AA47" s="8">
        <f>ROUND(AA33+AA38+AA46,5)</f>
        <v>395045.78133000003</v>
      </c>
      <c r="AB47" s="8">
        <f t="shared" ref="AB47:AC47" si="86">ROUND(AB33+AB38+AB46,5)</f>
        <v>476621.4</v>
      </c>
      <c r="AC47" s="8">
        <f t="shared" si="86"/>
        <v>316704.53000000003</v>
      </c>
      <c r="AE47" s="8">
        <f>ROUND(AE33+AE38+AE46,5)</f>
        <v>-84761.901329999993</v>
      </c>
      <c r="AF47" s="8">
        <f t="shared" ref="AF47" si="87">ROUND(AF33+AF38+AF46,5)</f>
        <v>-166337.51999999999</v>
      </c>
      <c r="AG47" s="8">
        <f t="shared" ref="AG47" si="88">ROUND(AG33+AG38+AG46,5)</f>
        <v>-6420.65</v>
      </c>
      <c r="AI47" s="8"/>
      <c r="AJ47" s="8"/>
      <c r="AK47" s="8"/>
    </row>
    <row r="48" spans="1:37" s="29" customFormat="1" x14ac:dyDescent="0.2">
      <c r="A48" s="2"/>
      <c r="B48" s="2"/>
      <c r="C48" s="2"/>
      <c r="D48" s="2"/>
      <c r="E48" s="2" t="s">
        <v>43</v>
      </c>
      <c r="F48" s="2"/>
      <c r="G48" s="2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Y48" s="8"/>
      <c r="AA48" s="8"/>
      <c r="AB48" s="8"/>
      <c r="AC48" s="8"/>
      <c r="AE48" s="8"/>
      <c r="AF48" s="8"/>
      <c r="AG48" s="8"/>
      <c r="AI48" s="8"/>
      <c r="AJ48" s="8"/>
      <c r="AK48" s="8"/>
    </row>
    <row r="49" spans="1:37" s="29" customFormat="1" x14ac:dyDescent="0.2">
      <c r="A49" s="2"/>
      <c r="B49" s="2"/>
      <c r="C49" s="2"/>
      <c r="D49" s="2"/>
      <c r="E49" s="2"/>
      <c r="F49" s="51" t="s">
        <v>44</v>
      </c>
      <c r="G49" s="2"/>
      <c r="H49" s="8"/>
      <c r="I49" s="8">
        <v>1000</v>
      </c>
      <c r="J49" s="8"/>
      <c r="K49" s="8">
        <v>3000</v>
      </c>
      <c r="L49" s="8"/>
      <c r="M49" s="8">
        <v>2250</v>
      </c>
      <c r="N49" s="8"/>
      <c r="O49" s="8">
        <v>1250</v>
      </c>
      <c r="P49" s="8"/>
      <c r="Q49" s="8">
        <v>4050</v>
      </c>
      <c r="R49" s="8"/>
      <c r="S49" s="8"/>
      <c r="T49" s="8"/>
      <c r="U49" s="47">
        <v>2250</v>
      </c>
      <c r="V49" s="8"/>
      <c r="W49" s="47">
        <v>3000</v>
      </c>
      <c r="Y49" s="73">
        <v>2300</v>
      </c>
      <c r="AA49" s="8">
        <f t="shared" ref="AA49:AA59" si="89">AVERAGE(I49:Q49)</f>
        <v>2310</v>
      </c>
      <c r="AB49" s="8">
        <f t="shared" ref="AB49:AB59" si="90">MAX(I49:Q49)</f>
        <v>4050</v>
      </c>
      <c r="AC49" s="8">
        <f t="shared" ref="AC49:AC59" si="91">MIN(I49:Q49)</f>
        <v>1000</v>
      </c>
      <c r="AE49" s="8">
        <f t="shared" ref="AE49:AE59" si="92">+U49-AA49</f>
        <v>-60</v>
      </c>
      <c r="AF49" s="8">
        <f t="shared" ref="AF49:AF59" si="93">+U49-AB49</f>
        <v>-1800</v>
      </c>
      <c r="AG49" s="8">
        <f t="shared" ref="AG49:AG59" si="94">+U49-AC49</f>
        <v>1250</v>
      </c>
      <c r="AI49" s="8">
        <f t="shared" ref="AI49:AI59" si="95">+W49-AA49</f>
        <v>690</v>
      </c>
      <c r="AJ49" s="8">
        <f t="shared" ref="AJ49:AJ59" si="96">+W49-AB49</f>
        <v>-1050</v>
      </c>
      <c r="AK49" s="8">
        <f t="shared" ref="AK49:AK59" si="97">+W49-AC49</f>
        <v>2000</v>
      </c>
    </row>
    <row r="50" spans="1:37" s="29" customFormat="1" x14ac:dyDescent="0.2">
      <c r="A50" s="2"/>
      <c r="B50" s="2"/>
      <c r="C50" s="2"/>
      <c r="D50" s="2"/>
      <c r="E50" s="2"/>
      <c r="F50" s="2" t="s">
        <v>45</v>
      </c>
      <c r="G50" s="2"/>
      <c r="H50" s="8"/>
      <c r="I50" s="8">
        <v>4034</v>
      </c>
      <c r="J50" s="8"/>
      <c r="K50" s="8">
        <v>262</v>
      </c>
      <c r="L50" s="8"/>
      <c r="M50" s="8">
        <v>35405</v>
      </c>
      <c r="N50" s="8"/>
      <c r="O50" s="8">
        <v>3448.77</v>
      </c>
      <c r="P50" s="8"/>
      <c r="Q50" s="8">
        <v>443.8</v>
      </c>
      <c r="R50" s="8"/>
      <c r="S50" s="8"/>
      <c r="T50" s="8"/>
      <c r="U50" s="47">
        <v>180876.23</v>
      </c>
      <c r="V50" s="8"/>
      <c r="W50" s="47">
        <v>5000</v>
      </c>
      <c r="Y50" s="88">
        <v>18500</v>
      </c>
      <c r="AA50" s="8">
        <f t="shared" si="89"/>
        <v>8718.7139999999999</v>
      </c>
      <c r="AB50" s="8">
        <f t="shared" si="90"/>
        <v>35405</v>
      </c>
      <c r="AC50" s="8">
        <f t="shared" si="91"/>
        <v>262</v>
      </c>
      <c r="AE50" s="8">
        <f t="shared" si="92"/>
        <v>172157.516</v>
      </c>
      <c r="AF50" s="8">
        <f t="shared" si="93"/>
        <v>145471.23000000001</v>
      </c>
      <c r="AG50" s="8">
        <f t="shared" si="94"/>
        <v>180614.23</v>
      </c>
      <c r="AI50" s="8">
        <f t="shared" si="95"/>
        <v>-3718.7139999999999</v>
      </c>
      <c r="AJ50" s="8">
        <f t="shared" si="96"/>
        <v>-30405</v>
      </c>
      <c r="AK50" s="8">
        <f t="shared" si="97"/>
        <v>4738</v>
      </c>
    </row>
    <row r="51" spans="1:37" s="29" customFormat="1" x14ac:dyDescent="0.2">
      <c r="A51" s="2"/>
      <c r="B51" s="2"/>
      <c r="C51" s="2"/>
      <c r="D51" s="2"/>
      <c r="E51" s="2"/>
      <c r="F51" s="2" t="s">
        <v>46</v>
      </c>
      <c r="G51" s="2"/>
      <c r="H51" s="8"/>
      <c r="I51" s="8">
        <v>298</v>
      </c>
      <c r="J51" s="8"/>
      <c r="K51" s="8">
        <v>892</v>
      </c>
      <c r="L51" s="8"/>
      <c r="M51" s="8">
        <v>851</v>
      </c>
      <c r="N51" s="8"/>
      <c r="O51" s="8">
        <v>1012.42</v>
      </c>
      <c r="P51" s="8"/>
      <c r="Q51" s="8">
        <v>18109.07</v>
      </c>
      <c r="R51" s="8"/>
      <c r="S51" s="8"/>
      <c r="T51" s="8"/>
      <c r="U51" s="46">
        <f>41284.26+1120.48</f>
        <v>42404.740000000005</v>
      </c>
      <c r="V51" s="8"/>
      <c r="W51" s="46">
        <v>20000</v>
      </c>
      <c r="Y51" s="88">
        <v>10000</v>
      </c>
      <c r="AA51" s="8">
        <f t="shared" si="89"/>
        <v>4232.4979999999996</v>
      </c>
      <c r="AB51" s="8">
        <f t="shared" si="90"/>
        <v>18109.07</v>
      </c>
      <c r="AC51" s="8">
        <f t="shared" si="91"/>
        <v>298</v>
      </c>
      <c r="AE51" s="8">
        <f t="shared" si="92"/>
        <v>38172.242000000006</v>
      </c>
      <c r="AF51" s="8">
        <f t="shared" si="93"/>
        <v>24295.670000000006</v>
      </c>
      <c r="AG51" s="8">
        <f t="shared" si="94"/>
        <v>42106.740000000005</v>
      </c>
      <c r="AI51" s="8">
        <f t="shared" si="95"/>
        <v>15767.502</v>
      </c>
      <c r="AJ51" s="8">
        <f t="shared" si="96"/>
        <v>1890.9300000000003</v>
      </c>
      <c r="AK51" s="8">
        <f t="shared" si="97"/>
        <v>19702</v>
      </c>
    </row>
    <row r="52" spans="1:37" s="29" customFormat="1" x14ac:dyDescent="0.2">
      <c r="A52" s="2"/>
      <c r="B52" s="2"/>
      <c r="C52" s="2"/>
      <c r="D52" s="2"/>
      <c r="E52" s="2"/>
      <c r="F52" s="2" t="s">
        <v>47</v>
      </c>
      <c r="G52" s="2"/>
      <c r="H52" s="8"/>
      <c r="I52" s="8">
        <v>21</v>
      </c>
      <c r="J52" s="8"/>
      <c r="K52" s="8">
        <v>82</v>
      </c>
      <c r="L52" s="8"/>
      <c r="M52" s="8">
        <v>133</v>
      </c>
      <c r="N52" s="8"/>
      <c r="O52" s="8">
        <v>59</v>
      </c>
      <c r="P52" s="8"/>
      <c r="Q52" s="8">
        <v>0</v>
      </c>
      <c r="R52" s="8"/>
      <c r="S52" s="8"/>
      <c r="T52" s="8"/>
      <c r="U52" s="47">
        <v>0</v>
      </c>
      <c r="V52" s="8"/>
      <c r="W52" s="47">
        <v>0</v>
      </c>
      <c r="Y52" s="79">
        <v>0</v>
      </c>
      <c r="AA52" s="8">
        <f t="shared" si="89"/>
        <v>59</v>
      </c>
      <c r="AB52" s="8">
        <f t="shared" si="90"/>
        <v>133</v>
      </c>
      <c r="AC52" s="8">
        <f t="shared" si="91"/>
        <v>0</v>
      </c>
      <c r="AE52" s="8">
        <f t="shared" si="92"/>
        <v>-59</v>
      </c>
      <c r="AF52" s="8">
        <f t="shared" si="93"/>
        <v>-133</v>
      </c>
      <c r="AG52" s="8">
        <f t="shared" si="94"/>
        <v>0</v>
      </c>
      <c r="AI52" s="8">
        <f t="shared" si="95"/>
        <v>-59</v>
      </c>
      <c r="AJ52" s="8">
        <f t="shared" si="96"/>
        <v>-133</v>
      </c>
      <c r="AK52" s="8">
        <f t="shared" si="97"/>
        <v>0</v>
      </c>
    </row>
    <row r="53" spans="1:37" s="29" customFormat="1" x14ac:dyDescent="0.2">
      <c r="A53" s="2"/>
      <c r="B53" s="2"/>
      <c r="C53" s="2"/>
      <c r="D53" s="2"/>
      <c r="E53" s="2"/>
      <c r="F53" s="2" t="s">
        <v>294</v>
      </c>
      <c r="G53" s="2"/>
      <c r="H53" s="8"/>
      <c r="I53" s="8"/>
      <c r="J53" s="8"/>
      <c r="K53" s="8"/>
      <c r="L53" s="8"/>
      <c r="M53" s="8"/>
      <c r="N53" s="8"/>
      <c r="O53" s="8"/>
      <c r="P53" s="8"/>
      <c r="Q53" s="8">
        <v>57.62</v>
      </c>
      <c r="R53" s="8"/>
      <c r="S53" s="8"/>
      <c r="T53" s="8"/>
      <c r="U53" s="47">
        <v>150</v>
      </c>
      <c r="V53" s="8"/>
      <c r="W53" s="47"/>
      <c r="Y53" s="79">
        <v>0</v>
      </c>
      <c r="AA53" s="8">
        <f t="shared" si="89"/>
        <v>57.62</v>
      </c>
      <c r="AB53" s="8">
        <f t="shared" si="90"/>
        <v>57.62</v>
      </c>
      <c r="AC53" s="8">
        <f t="shared" si="91"/>
        <v>57.62</v>
      </c>
      <c r="AE53" s="8">
        <f t="shared" si="92"/>
        <v>92.38</v>
      </c>
      <c r="AF53" s="8">
        <f t="shared" si="93"/>
        <v>92.38</v>
      </c>
      <c r="AG53" s="8">
        <f t="shared" si="94"/>
        <v>92.38</v>
      </c>
      <c r="AI53" s="8">
        <f t="shared" si="95"/>
        <v>-57.62</v>
      </c>
      <c r="AJ53" s="8">
        <f t="shared" si="96"/>
        <v>-57.62</v>
      </c>
      <c r="AK53" s="8">
        <f t="shared" si="97"/>
        <v>-57.62</v>
      </c>
    </row>
    <row r="54" spans="1:37" s="29" customFormat="1" x14ac:dyDescent="0.2">
      <c r="A54" s="2"/>
      <c r="B54" s="2"/>
      <c r="C54" s="2"/>
      <c r="D54" s="2"/>
      <c r="E54" s="2"/>
      <c r="F54" s="2" t="s">
        <v>48</v>
      </c>
      <c r="G54" s="2"/>
      <c r="H54" s="8"/>
      <c r="I54" s="8">
        <v>3469</v>
      </c>
      <c r="J54" s="8"/>
      <c r="K54" s="8">
        <v>3440</v>
      </c>
      <c r="L54" s="8"/>
      <c r="M54" s="8"/>
      <c r="N54" s="8"/>
      <c r="O54" s="8"/>
      <c r="P54" s="8"/>
      <c r="Q54" s="8">
        <v>43355</v>
      </c>
      <c r="R54" s="8"/>
      <c r="S54" s="8"/>
      <c r="T54" s="8"/>
      <c r="U54" s="47">
        <v>1500</v>
      </c>
      <c r="V54" s="8"/>
      <c r="W54" s="47">
        <v>0</v>
      </c>
      <c r="Y54" s="73">
        <v>1500</v>
      </c>
      <c r="AA54" s="8">
        <f t="shared" si="89"/>
        <v>16754.666666666668</v>
      </c>
      <c r="AB54" s="8">
        <f t="shared" si="90"/>
        <v>43355</v>
      </c>
      <c r="AC54" s="8">
        <f t="shared" si="91"/>
        <v>3440</v>
      </c>
      <c r="AE54" s="8">
        <f t="shared" si="92"/>
        <v>-15254.666666666668</v>
      </c>
      <c r="AF54" s="8">
        <f t="shared" si="93"/>
        <v>-41855</v>
      </c>
      <c r="AG54" s="8">
        <f t="shared" si="94"/>
        <v>-1940</v>
      </c>
      <c r="AI54" s="8">
        <f t="shared" si="95"/>
        <v>-16754.666666666668</v>
      </c>
      <c r="AJ54" s="8">
        <f t="shared" si="96"/>
        <v>-43355</v>
      </c>
      <c r="AK54" s="8">
        <f t="shared" si="97"/>
        <v>-3440</v>
      </c>
    </row>
    <row r="55" spans="1:37" s="29" customFormat="1" x14ac:dyDescent="0.2">
      <c r="A55" s="2"/>
      <c r="B55" s="2"/>
      <c r="C55" s="2"/>
      <c r="D55" s="2"/>
      <c r="E55" s="2"/>
      <c r="F55" s="2" t="s">
        <v>49</v>
      </c>
      <c r="G55" s="2"/>
      <c r="H55" s="8"/>
      <c r="I55" s="8">
        <v>1156</v>
      </c>
      <c r="J55" s="8"/>
      <c r="K55" s="8">
        <v>1316</v>
      </c>
      <c r="L55" s="8"/>
      <c r="M55" s="8">
        <v>460</v>
      </c>
      <c r="N55" s="8"/>
      <c r="O55" s="8">
        <v>910</v>
      </c>
      <c r="P55" s="8"/>
      <c r="Q55" s="8">
        <v>875</v>
      </c>
      <c r="R55" s="8"/>
      <c r="S55" s="8"/>
      <c r="T55" s="8"/>
      <c r="U55" s="47">
        <v>725</v>
      </c>
      <c r="V55" s="8"/>
      <c r="W55" s="47">
        <v>900</v>
      </c>
      <c r="Y55" s="73">
        <v>800</v>
      </c>
      <c r="AA55" s="8">
        <f t="shared" si="89"/>
        <v>943.4</v>
      </c>
      <c r="AB55" s="8">
        <f t="shared" si="90"/>
        <v>1316</v>
      </c>
      <c r="AC55" s="8">
        <f t="shared" si="91"/>
        <v>460</v>
      </c>
      <c r="AE55" s="8">
        <f t="shared" si="92"/>
        <v>-218.39999999999998</v>
      </c>
      <c r="AF55" s="8">
        <f t="shared" si="93"/>
        <v>-591</v>
      </c>
      <c r="AG55" s="8">
        <f t="shared" si="94"/>
        <v>265</v>
      </c>
      <c r="AI55" s="8">
        <f t="shared" si="95"/>
        <v>-43.399999999999977</v>
      </c>
      <c r="AJ55" s="8">
        <f t="shared" si="96"/>
        <v>-416</v>
      </c>
      <c r="AK55" s="8">
        <f t="shared" si="97"/>
        <v>440</v>
      </c>
    </row>
    <row r="56" spans="1:37" s="29" customFormat="1" x14ac:dyDescent="0.2">
      <c r="A56" s="2"/>
      <c r="B56" s="2"/>
      <c r="C56" s="2"/>
      <c r="D56" s="2"/>
      <c r="E56" s="2"/>
      <c r="F56" s="2" t="s">
        <v>313</v>
      </c>
      <c r="G56" s="2"/>
      <c r="H56" s="8"/>
      <c r="I56" s="8">
        <v>42278</v>
      </c>
      <c r="J56" s="8"/>
      <c r="K56" s="8">
        <v>39356</v>
      </c>
      <c r="L56" s="8"/>
      <c r="M56" s="8">
        <v>30475</v>
      </c>
      <c r="N56" s="8"/>
      <c r="O56" s="8">
        <v>30715</v>
      </c>
      <c r="P56" s="8"/>
      <c r="Q56" s="8">
        <v>34924.5</v>
      </c>
      <c r="R56" s="8"/>
      <c r="S56" s="8"/>
      <c r="T56" s="8"/>
      <c r="U56" s="47">
        <v>39210</v>
      </c>
      <c r="V56" s="8"/>
      <c r="W56" s="47">
        <v>35000</v>
      </c>
      <c r="Y56" s="73">
        <v>35500</v>
      </c>
      <c r="AA56" s="8">
        <f t="shared" si="89"/>
        <v>35549.699999999997</v>
      </c>
      <c r="AB56" s="8">
        <f t="shared" si="90"/>
        <v>42278</v>
      </c>
      <c r="AC56" s="8">
        <f t="shared" si="91"/>
        <v>30475</v>
      </c>
      <c r="AE56" s="8">
        <f t="shared" si="92"/>
        <v>3660.3000000000029</v>
      </c>
      <c r="AF56" s="8">
        <f t="shared" si="93"/>
        <v>-3068</v>
      </c>
      <c r="AG56" s="8">
        <f t="shared" si="94"/>
        <v>8735</v>
      </c>
      <c r="AI56" s="8">
        <f t="shared" si="95"/>
        <v>-549.69999999999709</v>
      </c>
      <c r="AJ56" s="8">
        <f t="shared" si="96"/>
        <v>-7278</v>
      </c>
      <c r="AK56" s="8">
        <f t="shared" si="97"/>
        <v>4525</v>
      </c>
    </row>
    <row r="57" spans="1:37" s="29" customFormat="1" x14ac:dyDescent="0.2">
      <c r="A57" s="2"/>
      <c r="B57" s="2"/>
      <c r="C57" s="2"/>
      <c r="D57" s="2"/>
      <c r="E57" s="2"/>
      <c r="F57" s="2" t="s">
        <v>50</v>
      </c>
      <c r="G57" s="2"/>
      <c r="H57" s="8"/>
      <c r="I57" s="8">
        <v>33884</v>
      </c>
      <c r="J57" s="8"/>
      <c r="K57" s="8">
        <v>35374</v>
      </c>
      <c r="L57" s="8"/>
      <c r="M57" s="8">
        <v>35660</v>
      </c>
      <c r="N57" s="8"/>
      <c r="O57" s="8">
        <v>37214.28</v>
      </c>
      <c r="P57" s="8"/>
      <c r="Q57" s="8">
        <v>40694.1</v>
      </c>
      <c r="R57" s="8"/>
      <c r="S57" s="8"/>
      <c r="T57" s="8"/>
      <c r="U57" s="47">
        <v>42064</v>
      </c>
      <c r="V57" s="8"/>
      <c r="W57" s="47">
        <v>35500</v>
      </c>
      <c r="Y57" s="73">
        <v>40000</v>
      </c>
      <c r="AA57" s="8">
        <f t="shared" si="89"/>
        <v>36565.275999999998</v>
      </c>
      <c r="AB57" s="8">
        <f t="shared" si="90"/>
        <v>40694.1</v>
      </c>
      <c r="AC57" s="8">
        <f t="shared" si="91"/>
        <v>33884</v>
      </c>
      <c r="AE57" s="8">
        <f t="shared" si="92"/>
        <v>5498.724000000002</v>
      </c>
      <c r="AF57" s="8">
        <f t="shared" si="93"/>
        <v>1369.9000000000015</v>
      </c>
      <c r="AG57" s="8">
        <f t="shared" si="94"/>
        <v>8180</v>
      </c>
      <c r="AI57" s="8">
        <f t="shared" si="95"/>
        <v>-1065.275999999998</v>
      </c>
      <c r="AJ57" s="8">
        <f t="shared" si="96"/>
        <v>-5194.0999999999985</v>
      </c>
      <c r="AK57" s="8">
        <f t="shared" si="97"/>
        <v>1616</v>
      </c>
    </row>
    <row r="58" spans="1:37" s="29" customFormat="1" x14ac:dyDescent="0.2">
      <c r="A58" s="2"/>
      <c r="B58" s="2"/>
      <c r="C58" s="2"/>
      <c r="D58" s="2"/>
      <c r="E58" s="2"/>
      <c r="F58" s="2" t="s">
        <v>51</v>
      </c>
      <c r="G58" s="2"/>
      <c r="H58" s="8"/>
      <c r="I58" s="8">
        <f>60043+100</f>
        <v>60143</v>
      </c>
      <c r="J58" s="8"/>
      <c r="K58" s="8">
        <v>557</v>
      </c>
      <c r="L58" s="8"/>
      <c r="M58" s="8">
        <v>4558</v>
      </c>
      <c r="N58" s="8"/>
      <c r="O58" s="8">
        <v>20347.87</v>
      </c>
      <c r="P58" s="8"/>
      <c r="Q58" s="8">
        <v>17757.97</v>
      </c>
      <c r="R58" s="8"/>
      <c r="S58" s="8"/>
      <c r="T58" s="8"/>
      <c r="U58" s="47">
        <v>7672.45</v>
      </c>
      <c r="V58" s="8"/>
      <c r="W58" s="47">
        <v>5000</v>
      </c>
      <c r="Y58" s="73">
        <v>7500</v>
      </c>
      <c r="AA58" s="8">
        <f t="shared" si="89"/>
        <v>20672.768</v>
      </c>
      <c r="AB58" s="8">
        <f t="shared" si="90"/>
        <v>60143</v>
      </c>
      <c r="AC58" s="8">
        <f t="shared" si="91"/>
        <v>557</v>
      </c>
      <c r="AE58" s="8">
        <f t="shared" si="92"/>
        <v>-13000.317999999999</v>
      </c>
      <c r="AF58" s="8">
        <f t="shared" si="93"/>
        <v>-52470.55</v>
      </c>
      <c r="AG58" s="8">
        <f t="shared" si="94"/>
        <v>7115.45</v>
      </c>
      <c r="AI58" s="8">
        <f t="shared" si="95"/>
        <v>-15672.768</v>
      </c>
      <c r="AJ58" s="8">
        <f t="shared" si="96"/>
        <v>-55143</v>
      </c>
      <c r="AK58" s="8">
        <f t="shared" si="97"/>
        <v>4443</v>
      </c>
    </row>
    <row r="59" spans="1:37" s="29" customFormat="1" ht="10.8" thickBot="1" x14ac:dyDescent="0.25">
      <c r="A59" s="2"/>
      <c r="B59" s="2"/>
      <c r="C59" s="2"/>
      <c r="D59" s="2"/>
      <c r="E59" s="2"/>
      <c r="F59" s="2" t="s">
        <v>52</v>
      </c>
      <c r="G59" s="2"/>
      <c r="H59" s="8"/>
      <c r="I59" s="11"/>
      <c r="J59" s="8"/>
      <c r="K59" s="11"/>
      <c r="L59" s="8"/>
      <c r="M59" s="11"/>
      <c r="N59" s="8"/>
      <c r="O59" s="11"/>
      <c r="P59" s="11"/>
      <c r="Q59" s="11">
        <v>0</v>
      </c>
      <c r="R59" s="9"/>
      <c r="S59" s="9"/>
      <c r="T59" s="8"/>
      <c r="U59" s="42">
        <v>13000</v>
      </c>
      <c r="V59" s="8"/>
      <c r="W59" s="42">
        <v>12500</v>
      </c>
      <c r="Y59" s="74">
        <v>0</v>
      </c>
      <c r="AA59" s="11">
        <f t="shared" si="89"/>
        <v>0</v>
      </c>
      <c r="AB59" s="11">
        <f t="shared" si="90"/>
        <v>0</v>
      </c>
      <c r="AC59" s="11">
        <f t="shared" si="91"/>
        <v>0</v>
      </c>
      <c r="AE59" s="11">
        <f t="shared" si="92"/>
        <v>13000</v>
      </c>
      <c r="AF59" s="11">
        <f t="shared" si="93"/>
        <v>13000</v>
      </c>
      <c r="AG59" s="11">
        <f t="shared" si="94"/>
        <v>13000</v>
      </c>
      <c r="AI59" s="11">
        <f t="shared" si="95"/>
        <v>12500</v>
      </c>
      <c r="AJ59" s="11">
        <f t="shared" si="96"/>
        <v>12500</v>
      </c>
      <c r="AK59" s="11">
        <f t="shared" si="97"/>
        <v>12500</v>
      </c>
    </row>
    <row r="60" spans="1:37" s="29" customFormat="1" x14ac:dyDescent="0.2">
      <c r="A60" s="2"/>
      <c r="B60" s="2"/>
      <c r="C60" s="2"/>
      <c r="D60" s="2"/>
      <c r="E60" s="2" t="s">
        <v>53</v>
      </c>
      <c r="F60" s="2"/>
      <c r="G60" s="2"/>
      <c r="H60" s="8"/>
      <c r="I60" s="8">
        <f>ROUND(SUM(I48:I59),5)</f>
        <v>146283</v>
      </c>
      <c r="J60" s="8"/>
      <c r="K60" s="8">
        <f>ROUND(SUM(K48:K59),5)</f>
        <v>84279</v>
      </c>
      <c r="L60" s="8"/>
      <c r="M60" s="8">
        <f>ROUND(SUM(M48:M59),5)</f>
        <v>109792</v>
      </c>
      <c r="N60" s="8"/>
      <c r="O60" s="8">
        <f>ROUND(SUM(O48:O59),5)</f>
        <v>94957.34</v>
      </c>
      <c r="P60" s="8"/>
      <c r="Q60" s="8">
        <f>ROUND(SUM(Q48:Q59),5)</f>
        <v>160267.06</v>
      </c>
      <c r="R60" s="8"/>
      <c r="S60" s="8"/>
      <c r="T60" s="8"/>
      <c r="U60" s="30">
        <f>ROUND(SUM(U48:U59),5)</f>
        <v>329852.42</v>
      </c>
      <c r="V60" s="8"/>
      <c r="W60" s="30">
        <f>ROUND(SUM(W48:W59),5)</f>
        <v>116900</v>
      </c>
      <c r="Y60" s="75">
        <f>ROUND(SUM(Y48:Y59),5)</f>
        <v>116100</v>
      </c>
      <c r="AA60" s="8">
        <f t="shared" ref="AA60:AC60" si="98">ROUND(SUM(AA58:AA59),5)</f>
        <v>20672.768</v>
      </c>
      <c r="AB60" s="8">
        <f t="shared" si="98"/>
        <v>60143</v>
      </c>
      <c r="AC60" s="8">
        <f t="shared" si="98"/>
        <v>557</v>
      </c>
      <c r="AE60" s="8">
        <f t="shared" ref="AE60" si="99">ROUND(SUM(AE58:AE59),5)</f>
        <v>-0.318</v>
      </c>
      <c r="AF60" s="8">
        <f t="shared" ref="AF60" si="100">ROUND(SUM(AF58:AF59),5)</f>
        <v>-39470.550000000003</v>
      </c>
      <c r="AG60" s="8">
        <f t="shared" ref="AG60" si="101">ROUND(SUM(AG58:AG59),5)</f>
        <v>20115.45</v>
      </c>
      <c r="AI60" s="8"/>
      <c r="AJ60" s="8"/>
      <c r="AK60" s="8"/>
    </row>
    <row r="61" spans="1:37" s="29" customFormat="1" x14ac:dyDescent="0.2">
      <c r="A61" s="2"/>
      <c r="B61" s="2"/>
      <c r="C61" s="2"/>
      <c r="D61" s="2"/>
      <c r="E61" s="2" t="s">
        <v>54</v>
      </c>
      <c r="F61" s="2"/>
      <c r="G61" s="2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Y61" s="8"/>
      <c r="AA61" s="8"/>
      <c r="AB61" s="8"/>
      <c r="AC61" s="8"/>
      <c r="AE61" s="8"/>
      <c r="AF61" s="8"/>
      <c r="AG61" s="8"/>
      <c r="AI61" s="8"/>
      <c r="AJ61" s="8"/>
      <c r="AK61" s="8"/>
    </row>
    <row r="62" spans="1:37" s="29" customFormat="1" x14ac:dyDescent="0.2">
      <c r="A62" s="2"/>
      <c r="B62" s="2"/>
      <c r="C62" s="2"/>
      <c r="D62" s="2"/>
      <c r="E62" s="2"/>
      <c r="F62" s="2" t="s">
        <v>279</v>
      </c>
      <c r="G62" s="2"/>
      <c r="H62" s="8"/>
      <c r="I62" s="8">
        <v>8538</v>
      </c>
      <c r="J62" s="8"/>
      <c r="K62" s="8">
        <v>877</v>
      </c>
      <c r="L62" s="8"/>
      <c r="M62" s="8">
        <v>2610</v>
      </c>
      <c r="N62" s="8"/>
      <c r="O62" s="8">
        <v>6411.49</v>
      </c>
      <c r="P62" s="8"/>
      <c r="Q62" s="8">
        <v>0</v>
      </c>
      <c r="R62" s="8"/>
      <c r="S62" s="8"/>
      <c r="T62" s="8"/>
      <c r="U62" s="46">
        <v>0</v>
      </c>
      <c r="V62" s="8"/>
      <c r="W62" s="46">
        <v>5500</v>
      </c>
      <c r="Y62" s="73">
        <v>0</v>
      </c>
      <c r="AA62" s="8">
        <f t="shared" ref="AA62:AA63" si="102">AVERAGE(I62:Q62)</f>
        <v>3687.2979999999998</v>
      </c>
      <c r="AB62" s="8">
        <f t="shared" ref="AB62:AB63" si="103">MAX(I62:Q62)</f>
        <v>8538</v>
      </c>
      <c r="AC62" s="8">
        <f t="shared" ref="AC62:AC63" si="104">MIN(I62:Q62)</f>
        <v>0</v>
      </c>
      <c r="AE62" s="8">
        <f t="shared" ref="AE62:AE63" si="105">+U62-AA62</f>
        <v>-3687.2979999999998</v>
      </c>
      <c r="AF62" s="8">
        <f t="shared" ref="AF62:AF63" si="106">+U62-AB62</f>
        <v>-8538</v>
      </c>
      <c r="AG62" s="8">
        <f t="shared" ref="AG62:AG63" si="107">+U62-AC62</f>
        <v>0</v>
      </c>
      <c r="AI62" s="8">
        <f t="shared" ref="AI62:AI63" si="108">+W62-AA62</f>
        <v>1812.7020000000002</v>
      </c>
      <c r="AJ62" s="8">
        <f t="shared" ref="AJ62:AJ63" si="109">+W62-AB62</f>
        <v>-3038</v>
      </c>
      <c r="AK62" s="8">
        <f t="shared" ref="AK62:AK63" si="110">+W62-AC62</f>
        <v>5500</v>
      </c>
    </row>
    <row r="63" spans="1:37" s="29" customFormat="1" ht="10.8" thickBot="1" x14ac:dyDescent="0.25">
      <c r="A63" s="2"/>
      <c r="B63" s="2"/>
      <c r="C63" s="2"/>
      <c r="D63" s="2"/>
      <c r="E63" s="2"/>
      <c r="F63" s="2" t="s">
        <v>55</v>
      </c>
      <c r="G63" s="2"/>
      <c r="H63" s="8"/>
      <c r="I63" s="11">
        <v>124</v>
      </c>
      <c r="J63" s="8"/>
      <c r="K63" s="11">
        <v>-332</v>
      </c>
      <c r="L63" s="8"/>
      <c r="M63" s="11">
        <v>-1418</v>
      </c>
      <c r="N63" s="8"/>
      <c r="O63" s="11">
        <v>360.22</v>
      </c>
      <c r="P63" s="11"/>
      <c r="Q63" s="11">
        <v>1075.6500000000001</v>
      </c>
      <c r="R63" s="9"/>
      <c r="S63" s="9"/>
      <c r="T63" s="8"/>
      <c r="U63" s="42">
        <v>1069</v>
      </c>
      <c r="V63" s="8"/>
      <c r="W63" s="42">
        <v>0</v>
      </c>
      <c r="Y63" s="78">
        <v>0</v>
      </c>
      <c r="AA63" s="11">
        <f t="shared" si="102"/>
        <v>-38.025999999999975</v>
      </c>
      <c r="AB63" s="11">
        <f t="shared" si="103"/>
        <v>1075.6500000000001</v>
      </c>
      <c r="AC63" s="11">
        <f t="shared" si="104"/>
        <v>-1418</v>
      </c>
      <c r="AE63" s="11">
        <f t="shared" si="105"/>
        <v>1107.0260000000001</v>
      </c>
      <c r="AF63" s="11">
        <f t="shared" si="106"/>
        <v>-6.6500000000000909</v>
      </c>
      <c r="AG63" s="11">
        <f t="shared" si="107"/>
        <v>2487</v>
      </c>
      <c r="AI63" s="11">
        <f t="shared" si="108"/>
        <v>38.025999999999975</v>
      </c>
      <c r="AJ63" s="11">
        <f t="shared" si="109"/>
        <v>-1075.6500000000001</v>
      </c>
      <c r="AK63" s="11">
        <f t="shared" si="110"/>
        <v>1418</v>
      </c>
    </row>
    <row r="64" spans="1:37" s="29" customFormat="1" x14ac:dyDescent="0.2">
      <c r="A64" s="2"/>
      <c r="B64" s="2"/>
      <c r="C64" s="2"/>
      <c r="D64" s="2"/>
      <c r="E64" s="2" t="s">
        <v>57</v>
      </c>
      <c r="F64" s="2"/>
      <c r="G64" s="2"/>
      <c r="H64" s="8"/>
      <c r="I64" s="8">
        <f>ROUND(SUM(I61:I63),5)</f>
        <v>8662</v>
      </c>
      <c r="J64" s="8"/>
      <c r="K64" s="8">
        <f>ROUND(SUM(K61:K63),5)</f>
        <v>545</v>
      </c>
      <c r="L64" s="8"/>
      <c r="M64" s="8">
        <f>ROUND(SUM(M61:M63),5)</f>
        <v>1192</v>
      </c>
      <c r="N64" s="8"/>
      <c r="O64" s="8">
        <f>ROUND(SUM(O61:O63),5)</f>
        <v>6771.71</v>
      </c>
      <c r="P64" s="8"/>
      <c r="Q64" s="8">
        <f>ROUND(SUM(Q61:Q63),5)</f>
        <v>1075.6500000000001</v>
      </c>
      <c r="R64" s="8"/>
      <c r="S64" s="8"/>
      <c r="T64" s="8"/>
      <c r="U64" s="8">
        <f>ROUND(SUM(U61:U63),5)</f>
        <v>1069</v>
      </c>
      <c r="V64" s="8"/>
      <c r="W64" s="8">
        <f>ROUND(SUM(W61:W63),5)</f>
        <v>5500</v>
      </c>
      <c r="Y64" s="75">
        <f>ROUND(SUM(Y61:Y63),5)</f>
        <v>0</v>
      </c>
      <c r="AA64" s="8">
        <f>ROUND(SUM(AA61:AA63),5)</f>
        <v>3649.2719999999999</v>
      </c>
      <c r="AB64" s="8">
        <f>ROUND(SUM(AB61:AB63),5)</f>
        <v>9613.65</v>
      </c>
      <c r="AC64" s="8">
        <f>ROUND(SUM(AC61:AC63),5)</f>
        <v>-1418</v>
      </c>
      <c r="AE64" s="8"/>
      <c r="AF64" s="8"/>
      <c r="AG64" s="8"/>
      <c r="AI64" s="8"/>
      <c r="AJ64" s="8"/>
      <c r="AK64" s="8"/>
    </row>
    <row r="65" spans="1:37" s="29" customFormat="1" x14ac:dyDescent="0.2">
      <c r="A65" s="2"/>
      <c r="B65" s="2"/>
      <c r="C65" s="2"/>
      <c r="D65" s="2"/>
      <c r="E65" s="2" t="s">
        <v>58</v>
      </c>
      <c r="F65" s="2"/>
      <c r="G65" s="2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Y65" s="8"/>
      <c r="AA65" s="8"/>
      <c r="AB65" s="8"/>
      <c r="AC65" s="8"/>
      <c r="AE65" s="8"/>
      <c r="AF65" s="8"/>
      <c r="AG65" s="8"/>
      <c r="AI65" s="8"/>
      <c r="AJ65" s="8"/>
      <c r="AK65" s="8"/>
    </row>
    <row r="66" spans="1:37" s="32" customFormat="1" x14ac:dyDescent="0.2">
      <c r="A66" s="2"/>
      <c r="B66" s="2"/>
      <c r="C66" s="2"/>
      <c r="D66" s="2"/>
      <c r="E66" s="2"/>
      <c r="F66" s="2" t="s">
        <v>59</v>
      </c>
      <c r="G66" s="2"/>
      <c r="H66" s="8"/>
      <c r="I66" s="8"/>
      <c r="J66" s="8"/>
      <c r="K66" s="8"/>
      <c r="L66" s="8"/>
      <c r="M66" s="8"/>
      <c r="N66" s="8"/>
      <c r="O66" s="9">
        <v>10686.42</v>
      </c>
      <c r="P66" s="9"/>
      <c r="Q66" s="8">
        <v>20705.47</v>
      </c>
      <c r="R66" s="9"/>
      <c r="S66" s="9"/>
      <c r="T66" s="9"/>
      <c r="U66" s="48">
        <v>24093</v>
      </c>
      <c r="V66" s="9"/>
      <c r="W66" s="48">
        <v>20600</v>
      </c>
      <c r="Y66" s="81">
        <v>25000</v>
      </c>
      <c r="AA66" s="9">
        <f t="shared" ref="AA66:AA67" si="111">AVERAGE(I66:Q66)</f>
        <v>15695.945</v>
      </c>
      <c r="AB66" s="9">
        <f t="shared" ref="AB66:AB67" si="112">MAX(I66:Q66)</f>
        <v>20705.47</v>
      </c>
      <c r="AC66" s="9">
        <f t="shared" ref="AC66:AC67" si="113">MIN(I66:Q66)</f>
        <v>10686.42</v>
      </c>
      <c r="AD66" s="29"/>
      <c r="AE66" s="9">
        <f t="shared" ref="AE66:AE67" si="114">+U66-AA66</f>
        <v>8397.0550000000003</v>
      </c>
      <c r="AF66" s="9">
        <f t="shared" ref="AF66:AF67" si="115">+U66-AB66</f>
        <v>3387.5299999999988</v>
      </c>
      <c r="AG66" s="9">
        <f t="shared" ref="AG66:AG67" si="116">+U66-AC66</f>
        <v>13406.58</v>
      </c>
      <c r="AH66" s="29"/>
      <c r="AI66" s="9">
        <f t="shared" ref="AI66:AI67" si="117">+W66-AA66</f>
        <v>4904.0550000000003</v>
      </c>
      <c r="AJ66" s="9">
        <f t="shared" ref="AJ66:AJ67" si="118">+W66-AB66</f>
        <v>-105.47000000000116</v>
      </c>
      <c r="AK66" s="9">
        <f t="shared" ref="AK66:AK67" si="119">+W66-AC66</f>
        <v>9913.58</v>
      </c>
    </row>
    <row r="67" spans="1:37" s="29" customFormat="1" ht="10.8" thickBot="1" x14ac:dyDescent="0.25">
      <c r="A67" s="2"/>
      <c r="B67" s="2"/>
      <c r="C67" s="2"/>
      <c r="D67" s="2"/>
      <c r="E67" s="2"/>
      <c r="F67" s="2" t="s">
        <v>295</v>
      </c>
      <c r="G67" s="27"/>
      <c r="H67" s="8"/>
      <c r="I67" s="11"/>
      <c r="J67" s="8"/>
      <c r="K67" s="11"/>
      <c r="L67" s="8"/>
      <c r="M67" s="11"/>
      <c r="N67" s="8"/>
      <c r="O67" s="11"/>
      <c r="P67" s="11"/>
      <c r="Q67" s="11">
        <v>29486</v>
      </c>
      <c r="R67" s="9"/>
      <c r="S67" s="9"/>
      <c r="T67" s="8"/>
      <c r="U67" s="42"/>
      <c r="V67" s="8"/>
      <c r="W67" s="42">
        <v>0</v>
      </c>
      <c r="Y67" s="78"/>
      <c r="AA67" s="11">
        <f t="shared" si="111"/>
        <v>29486</v>
      </c>
      <c r="AB67" s="11">
        <f t="shared" si="112"/>
        <v>29486</v>
      </c>
      <c r="AC67" s="11">
        <f t="shared" si="113"/>
        <v>29486</v>
      </c>
      <c r="AE67" s="11">
        <f t="shared" si="114"/>
        <v>-29486</v>
      </c>
      <c r="AF67" s="11">
        <f t="shared" si="115"/>
        <v>-29486</v>
      </c>
      <c r="AG67" s="11">
        <f t="shared" si="116"/>
        <v>-29486</v>
      </c>
      <c r="AI67" s="11">
        <f t="shared" si="117"/>
        <v>-29486</v>
      </c>
      <c r="AJ67" s="11">
        <f t="shared" si="118"/>
        <v>-29486</v>
      </c>
      <c r="AK67" s="11">
        <f t="shared" si="119"/>
        <v>-29486</v>
      </c>
    </row>
    <row r="68" spans="1:37" s="29" customFormat="1" x14ac:dyDescent="0.2">
      <c r="A68" s="2"/>
      <c r="B68" s="2"/>
      <c r="C68" s="2"/>
      <c r="D68" s="2"/>
      <c r="E68" s="2" t="s">
        <v>60</v>
      </c>
      <c r="F68" s="2"/>
      <c r="G68" s="2"/>
      <c r="H68" s="8"/>
      <c r="I68" s="8">
        <f>ROUND(SUM(I65:I67),5)</f>
        <v>0</v>
      </c>
      <c r="J68" s="8"/>
      <c r="K68" s="8">
        <f>ROUND(SUM(K65:K67),5)</f>
        <v>0</v>
      </c>
      <c r="L68" s="8"/>
      <c r="M68" s="8">
        <f>ROUND(SUM(M65:M67),5)</f>
        <v>0</v>
      </c>
      <c r="N68" s="8"/>
      <c r="O68" s="8">
        <f>ROUND(SUM(O65:O67),5)</f>
        <v>10686.42</v>
      </c>
      <c r="P68" s="8"/>
      <c r="Q68" s="8">
        <f>ROUND(SUM(Q65:Q67),5)</f>
        <v>50191.47</v>
      </c>
      <c r="R68" s="8"/>
      <c r="S68" s="8"/>
      <c r="T68" s="8"/>
      <c r="U68" s="31">
        <f>ROUND(SUM(U65:U67),5)</f>
        <v>24093</v>
      </c>
      <c r="V68" s="8"/>
      <c r="W68" s="31">
        <f>ROUND(SUM(W65:W67),5)</f>
        <v>20600</v>
      </c>
      <c r="Y68" s="75">
        <f>ROUND(SUM(Y65:Y67),5)</f>
        <v>25000</v>
      </c>
      <c r="AA68" s="8">
        <f t="shared" ref="AA68:AC68" si="120">ROUND(SUM(AA65:AA67),5)</f>
        <v>45181.945</v>
      </c>
      <c r="AB68" s="8">
        <f t="shared" si="120"/>
        <v>50191.47</v>
      </c>
      <c r="AC68" s="8">
        <f t="shared" si="120"/>
        <v>40172.42</v>
      </c>
      <c r="AE68" s="8">
        <f t="shared" ref="AE68" si="121">ROUND(SUM(AE65:AE67),5)</f>
        <v>-21088.945</v>
      </c>
      <c r="AF68" s="8">
        <f t="shared" ref="AF68" si="122">ROUND(SUM(AF65:AF67),5)</f>
        <v>-26098.47</v>
      </c>
      <c r="AG68" s="8">
        <f t="shared" ref="AG68" si="123">ROUND(SUM(AG65:AG67),5)</f>
        <v>-16079.42</v>
      </c>
      <c r="AI68" s="8"/>
      <c r="AJ68" s="8"/>
      <c r="AK68" s="8"/>
    </row>
    <row r="69" spans="1:37" s="29" customFormat="1" x14ac:dyDescent="0.2">
      <c r="A69" s="2"/>
      <c r="B69" s="2"/>
      <c r="C69" s="2"/>
      <c r="D69" s="2"/>
      <c r="E69" s="2" t="s">
        <v>61</v>
      </c>
      <c r="F69" s="2"/>
      <c r="G69" s="2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Y69" s="8"/>
      <c r="AA69" s="8"/>
      <c r="AB69" s="8"/>
      <c r="AC69" s="8"/>
      <c r="AE69" s="8"/>
      <c r="AF69" s="8"/>
      <c r="AG69" s="8"/>
      <c r="AI69" s="8"/>
      <c r="AJ69" s="8"/>
      <c r="AK69" s="8"/>
    </row>
    <row r="70" spans="1:37" s="29" customFormat="1" x14ac:dyDescent="0.2">
      <c r="A70" s="2"/>
      <c r="B70" s="2"/>
      <c r="C70" s="2"/>
      <c r="D70" s="2"/>
      <c r="E70" s="2"/>
      <c r="F70" s="51" t="s">
        <v>396</v>
      </c>
      <c r="G70" s="2"/>
      <c r="H70" s="8"/>
      <c r="I70" s="8"/>
      <c r="J70" s="8"/>
      <c r="K70" s="8"/>
      <c r="L70" s="8"/>
      <c r="M70" s="8"/>
      <c r="N70" s="8"/>
      <c r="O70" s="8"/>
      <c r="P70" s="8"/>
      <c r="Q70" s="8">
        <v>3000</v>
      </c>
      <c r="R70" s="8"/>
      <c r="S70" s="8"/>
      <c r="T70" s="8"/>
      <c r="U70" s="47">
        <v>1396</v>
      </c>
      <c r="V70" s="8"/>
      <c r="W70" s="47">
        <v>2000</v>
      </c>
      <c r="Y70" s="73">
        <v>2000</v>
      </c>
      <c r="AA70" s="8">
        <f t="shared" ref="AA70:AA75" si="124">AVERAGE(I70:Q70)</f>
        <v>3000</v>
      </c>
      <c r="AB70" s="8">
        <f t="shared" ref="AB70:AB75" si="125">MAX(I70:Q70)</f>
        <v>3000</v>
      </c>
      <c r="AC70" s="8">
        <f t="shared" ref="AC70:AC75" si="126">MIN(I70:Q70)</f>
        <v>3000</v>
      </c>
      <c r="AE70" s="8">
        <f t="shared" ref="AE70:AE75" si="127">+U70-AA70</f>
        <v>-1604</v>
      </c>
      <c r="AF70" s="8">
        <f t="shared" ref="AF70:AF75" si="128">+U70-AB70</f>
        <v>-1604</v>
      </c>
      <c r="AG70" s="8">
        <f t="shared" ref="AG70:AG75" si="129">+U70-AC70</f>
        <v>-1604</v>
      </c>
      <c r="AI70" s="8">
        <f t="shared" ref="AI70:AI75" si="130">+W70-AA70</f>
        <v>-1000</v>
      </c>
      <c r="AJ70" s="8">
        <f t="shared" ref="AJ70:AJ75" si="131">+W70-AB70</f>
        <v>-1000</v>
      </c>
      <c r="AK70" s="8">
        <f t="shared" ref="AK70:AK75" si="132">+W70-AC70</f>
        <v>-1000</v>
      </c>
    </row>
    <row r="71" spans="1:37" s="29" customFormat="1" x14ac:dyDescent="0.2">
      <c r="A71" s="2"/>
      <c r="B71" s="2"/>
      <c r="C71" s="2"/>
      <c r="D71" s="2"/>
      <c r="E71" s="2"/>
      <c r="F71" s="51" t="s">
        <v>397</v>
      </c>
      <c r="G71" s="2"/>
      <c r="H71" s="8"/>
      <c r="I71" s="8"/>
      <c r="J71" s="8"/>
      <c r="K71" s="8"/>
      <c r="L71" s="8"/>
      <c r="M71" s="8"/>
      <c r="N71" s="8"/>
      <c r="O71" s="8"/>
      <c r="P71" s="8"/>
      <c r="Q71" s="8">
        <v>3980</v>
      </c>
      <c r="R71" s="8"/>
      <c r="S71" s="8"/>
      <c r="T71" s="8"/>
      <c r="U71" s="47">
        <v>4841</v>
      </c>
      <c r="V71" s="8"/>
      <c r="W71" s="47">
        <v>3000</v>
      </c>
      <c r="Y71" s="73">
        <v>3000</v>
      </c>
      <c r="AA71" s="8">
        <f t="shared" si="124"/>
        <v>3980</v>
      </c>
      <c r="AB71" s="8">
        <f t="shared" si="125"/>
        <v>3980</v>
      </c>
      <c r="AC71" s="8">
        <f t="shared" si="126"/>
        <v>3980</v>
      </c>
      <c r="AE71" s="8">
        <f t="shared" si="127"/>
        <v>861</v>
      </c>
      <c r="AF71" s="8">
        <f t="shared" si="128"/>
        <v>861</v>
      </c>
      <c r="AG71" s="8">
        <f t="shared" si="129"/>
        <v>861</v>
      </c>
      <c r="AI71" s="8">
        <f t="shared" si="130"/>
        <v>-980</v>
      </c>
      <c r="AJ71" s="8">
        <f t="shared" si="131"/>
        <v>-980</v>
      </c>
      <c r="AK71" s="8">
        <f t="shared" si="132"/>
        <v>-980</v>
      </c>
    </row>
    <row r="72" spans="1:37" s="29" customFormat="1" x14ac:dyDescent="0.2">
      <c r="A72" s="2"/>
      <c r="B72" s="2"/>
      <c r="C72" s="2"/>
      <c r="D72" s="2"/>
      <c r="E72" s="2"/>
      <c r="F72" s="51" t="s">
        <v>398</v>
      </c>
      <c r="G72" s="2"/>
      <c r="H72" s="8"/>
      <c r="I72" s="8"/>
      <c r="J72" s="8"/>
      <c r="K72" s="8"/>
      <c r="L72" s="8"/>
      <c r="M72" s="8"/>
      <c r="N72" s="8"/>
      <c r="O72" s="8"/>
      <c r="P72" s="8"/>
      <c r="Q72" s="8">
        <v>2207.52</v>
      </c>
      <c r="R72" s="8"/>
      <c r="S72" s="8"/>
      <c r="T72" s="8"/>
      <c r="U72" s="46">
        <v>1785</v>
      </c>
      <c r="V72" s="8"/>
      <c r="W72" s="46">
        <v>5000</v>
      </c>
      <c r="Y72" s="73">
        <v>5000</v>
      </c>
      <c r="AA72" s="8">
        <f t="shared" si="124"/>
        <v>2207.52</v>
      </c>
      <c r="AB72" s="8">
        <f t="shared" si="125"/>
        <v>2207.52</v>
      </c>
      <c r="AC72" s="8">
        <f t="shared" si="126"/>
        <v>2207.52</v>
      </c>
      <c r="AE72" s="8">
        <f t="shared" si="127"/>
        <v>-422.52</v>
      </c>
      <c r="AF72" s="8">
        <f t="shared" si="128"/>
        <v>-422.52</v>
      </c>
      <c r="AG72" s="8">
        <f t="shared" si="129"/>
        <v>-422.52</v>
      </c>
      <c r="AI72" s="8">
        <f t="shared" si="130"/>
        <v>2792.48</v>
      </c>
      <c r="AJ72" s="8">
        <f t="shared" si="131"/>
        <v>2792.48</v>
      </c>
      <c r="AK72" s="8">
        <f t="shared" si="132"/>
        <v>2792.48</v>
      </c>
    </row>
    <row r="73" spans="1:37" s="29" customFormat="1" x14ac:dyDescent="0.2">
      <c r="A73" s="2"/>
      <c r="B73" s="2"/>
      <c r="C73" s="2"/>
      <c r="D73" s="2"/>
      <c r="E73" s="2"/>
      <c r="F73" s="2" t="s">
        <v>358</v>
      </c>
      <c r="G73" s="2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46">
        <v>24630</v>
      </c>
      <c r="V73" s="8"/>
      <c r="W73" s="46"/>
      <c r="Y73" s="79">
        <v>0</v>
      </c>
      <c r="AA73" s="8"/>
      <c r="AB73" s="8"/>
      <c r="AC73" s="8"/>
      <c r="AE73" s="8"/>
      <c r="AF73" s="8"/>
      <c r="AG73" s="8"/>
      <c r="AI73" s="8"/>
      <c r="AJ73" s="8"/>
      <c r="AK73" s="8"/>
    </row>
    <row r="74" spans="1:37" s="29" customFormat="1" x14ac:dyDescent="0.2">
      <c r="A74" s="2"/>
      <c r="B74" s="2"/>
      <c r="C74" s="2"/>
      <c r="D74" s="2"/>
      <c r="E74" s="2"/>
      <c r="F74" s="2" t="s">
        <v>359</v>
      </c>
      <c r="G74" s="2"/>
      <c r="H74" s="8"/>
      <c r="I74" s="8"/>
      <c r="J74" s="8"/>
      <c r="K74" s="8"/>
      <c r="L74" s="8"/>
      <c r="M74" s="8"/>
      <c r="N74" s="8"/>
      <c r="O74" s="8"/>
      <c r="P74" s="8"/>
      <c r="Q74" s="8">
        <v>25000</v>
      </c>
      <c r="R74" s="8"/>
      <c r="S74" s="8"/>
      <c r="T74" s="8"/>
      <c r="U74" s="46">
        <v>0</v>
      </c>
      <c r="V74" s="8"/>
      <c r="W74" s="46"/>
      <c r="Y74" s="79">
        <v>0</v>
      </c>
      <c r="AA74" s="8"/>
      <c r="AB74" s="8"/>
      <c r="AC74" s="8"/>
      <c r="AE74" s="8"/>
      <c r="AF74" s="8"/>
      <c r="AG74" s="8"/>
      <c r="AI74" s="8"/>
      <c r="AJ74" s="8"/>
      <c r="AK74" s="8"/>
    </row>
    <row r="75" spans="1:37" s="29" customFormat="1" ht="10.8" thickBot="1" x14ac:dyDescent="0.25">
      <c r="A75" s="2"/>
      <c r="B75" s="2"/>
      <c r="C75" s="2"/>
      <c r="D75" s="2"/>
      <c r="E75" s="2"/>
      <c r="F75" s="51" t="s">
        <v>328</v>
      </c>
      <c r="G75" s="2"/>
      <c r="H75" s="8"/>
      <c r="I75" s="11"/>
      <c r="J75" s="8"/>
      <c r="K75" s="11"/>
      <c r="L75" s="8"/>
      <c r="M75" s="11">
        <v>35000</v>
      </c>
      <c r="N75" s="8"/>
      <c r="O75" s="11"/>
      <c r="P75" s="11"/>
      <c r="Q75" s="11">
        <v>33773.42</v>
      </c>
      <c r="R75" s="9"/>
      <c r="S75" s="9"/>
      <c r="T75" s="8"/>
      <c r="U75" s="39">
        <v>0</v>
      </c>
      <c r="V75" s="8"/>
      <c r="W75" s="39">
        <v>35000</v>
      </c>
      <c r="Y75" s="78">
        <v>0</v>
      </c>
      <c r="AA75" s="11">
        <f t="shared" si="124"/>
        <v>34386.71</v>
      </c>
      <c r="AB75" s="11">
        <f t="shared" si="125"/>
        <v>35000</v>
      </c>
      <c r="AC75" s="11">
        <f t="shared" si="126"/>
        <v>33773.42</v>
      </c>
      <c r="AE75" s="11">
        <f t="shared" si="127"/>
        <v>-34386.71</v>
      </c>
      <c r="AF75" s="11">
        <f t="shared" si="128"/>
        <v>-35000</v>
      </c>
      <c r="AG75" s="11">
        <f t="shared" si="129"/>
        <v>-33773.42</v>
      </c>
      <c r="AI75" s="11">
        <f t="shared" si="130"/>
        <v>613.29000000000087</v>
      </c>
      <c r="AJ75" s="11">
        <f t="shared" si="131"/>
        <v>0</v>
      </c>
      <c r="AK75" s="11">
        <f t="shared" si="132"/>
        <v>1226.5800000000017</v>
      </c>
    </row>
    <row r="76" spans="1:37" s="29" customFormat="1" x14ac:dyDescent="0.2">
      <c r="A76" s="2"/>
      <c r="B76" s="2"/>
      <c r="C76" s="2"/>
      <c r="D76" s="2"/>
      <c r="E76" s="2" t="s">
        <v>62</v>
      </c>
      <c r="F76" s="2"/>
      <c r="G76" s="2"/>
      <c r="H76" s="8"/>
      <c r="I76" s="8">
        <f>ROUND(SUM(I69:I75),5)</f>
        <v>0</v>
      </c>
      <c r="J76" s="8"/>
      <c r="K76" s="8">
        <f>ROUND(SUM(K69:K75),5)</f>
        <v>0</v>
      </c>
      <c r="L76" s="8"/>
      <c r="M76" s="8">
        <f>ROUND(SUM(M69:M75),5)</f>
        <v>35000</v>
      </c>
      <c r="N76" s="8"/>
      <c r="O76" s="8">
        <f>ROUND(SUM(O69:O75),5)</f>
        <v>0</v>
      </c>
      <c r="P76" s="8"/>
      <c r="Q76" s="8">
        <f>ROUND(SUM(Q69:Q75),5)</f>
        <v>67960.94</v>
      </c>
      <c r="R76" s="8"/>
      <c r="S76" s="8"/>
      <c r="T76" s="8"/>
      <c r="U76" s="31">
        <f>ROUND(SUM(U69:U75),5)</f>
        <v>32652</v>
      </c>
      <c r="V76" s="8"/>
      <c r="W76" s="31">
        <f>ROUND(SUM(W69:W75),5)</f>
        <v>45000</v>
      </c>
      <c r="Y76" s="75">
        <f>ROUND(SUM(Y69:Y75),5)</f>
        <v>10000</v>
      </c>
      <c r="AA76" s="8">
        <f t="shared" ref="AA76:AC76" si="133">ROUND(SUM(AA69:AA75),5)</f>
        <v>43574.23</v>
      </c>
      <c r="AB76" s="8">
        <f t="shared" si="133"/>
        <v>44187.519999999997</v>
      </c>
      <c r="AC76" s="8">
        <f t="shared" si="133"/>
        <v>42960.94</v>
      </c>
      <c r="AE76" s="8">
        <f t="shared" ref="AE76" si="134">ROUND(SUM(AE69:AE75),5)</f>
        <v>-35552.230000000003</v>
      </c>
      <c r="AF76" s="8">
        <f t="shared" ref="AF76" si="135">ROUND(SUM(AF69:AF75),5)</f>
        <v>-36165.519999999997</v>
      </c>
      <c r="AG76" s="8">
        <f t="shared" ref="AG76" si="136">ROUND(SUM(AG69:AG75),5)</f>
        <v>-34938.94</v>
      </c>
      <c r="AI76" s="8"/>
      <c r="AJ76" s="8"/>
      <c r="AK76" s="8"/>
    </row>
    <row r="77" spans="1:37" s="29" customFormat="1" x14ac:dyDescent="0.2">
      <c r="A77" s="2"/>
      <c r="B77" s="2"/>
      <c r="C77" s="2"/>
      <c r="D77" s="2"/>
      <c r="E77" s="2" t="s">
        <v>63</v>
      </c>
      <c r="F77" s="2"/>
      <c r="G77" s="2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Y77" s="8"/>
      <c r="AA77" s="8"/>
      <c r="AB77" s="8"/>
      <c r="AC77" s="8"/>
      <c r="AE77" s="8"/>
      <c r="AF77" s="8"/>
      <c r="AG77" s="8"/>
      <c r="AI77" s="8"/>
      <c r="AJ77" s="8"/>
      <c r="AK77" s="8"/>
    </row>
    <row r="78" spans="1:37" s="29" customFormat="1" x14ac:dyDescent="0.2">
      <c r="A78" s="2"/>
      <c r="B78" s="2"/>
      <c r="C78" s="2"/>
      <c r="D78" s="2"/>
      <c r="E78" s="2"/>
      <c r="F78" s="51" t="s">
        <v>329</v>
      </c>
      <c r="G78" s="2"/>
      <c r="H78" s="8"/>
      <c r="I78" s="8"/>
      <c r="J78" s="8"/>
      <c r="K78" s="8"/>
      <c r="L78" s="8"/>
      <c r="M78" s="8">
        <v>30000</v>
      </c>
      <c r="N78" s="8"/>
      <c r="O78" s="8">
        <v>60000</v>
      </c>
      <c r="P78" s="8"/>
      <c r="Q78" s="8">
        <v>60000</v>
      </c>
      <c r="R78" s="8"/>
      <c r="S78" s="8"/>
      <c r="T78" s="8"/>
      <c r="U78" s="47">
        <v>55000</v>
      </c>
      <c r="V78" s="8"/>
      <c r="W78" s="47">
        <v>60000</v>
      </c>
      <c r="Y78" s="73">
        <v>60000</v>
      </c>
      <c r="AA78" s="8">
        <f t="shared" ref="AA78:AA80" si="137">AVERAGE(I78:Q78)</f>
        <v>50000</v>
      </c>
      <c r="AB78" s="8">
        <f t="shared" ref="AB78:AB80" si="138">MAX(I78:Q78)</f>
        <v>60000</v>
      </c>
      <c r="AC78" s="8">
        <f t="shared" ref="AC78:AC80" si="139">MIN(I78:Q78)</f>
        <v>30000</v>
      </c>
      <c r="AE78" s="8">
        <f t="shared" ref="AE78:AE80" si="140">+U78-AA78</f>
        <v>5000</v>
      </c>
      <c r="AF78" s="8">
        <f t="shared" ref="AF78:AF80" si="141">+U78-AB78</f>
        <v>-5000</v>
      </c>
      <c r="AG78" s="8">
        <f t="shared" ref="AG78:AG80" si="142">+U78-AC78</f>
        <v>25000</v>
      </c>
      <c r="AI78" s="8">
        <f t="shared" ref="AI78:AI80" si="143">+W78-AA78</f>
        <v>10000</v>
      </c>
      <c r="AJ78" s="8">
        <f t="shared" ref="AJ78:AJ80" si="144">+W78-AB78</f>
        <v>0</v>
      </c>
      <c r="AK78" s="8">
        <f t="shared" ref="AK78:AK80" si="145">+W78-AC78</f>
        <v>30000</v>
      </c>
    </row>
    <row r="79" spans="1:37" s="29" customFormat="1" x14ac:dyDescent="0.2">
      <c r="A79" s="2"/>
      <c r="B79" s="2"/>
      <c r="C79" s="2"/>
      <c r="D79" s="2"/>
      <c r="E79" s="2"/>
      <c r="F79" s="2" t="s">
        <v>64</v>
      </c>
      <c r="G79" s="2"/>
      <c r="H79" s="8"/>
      <c r="I79" s="8"/>
      <c r="J79" s="8"/>
      <c r="K79" s="8"/>
      <c r="L79" s="8"/>
      <c r="M79" s="8">
        <v>37500</v>
      </c>
      <c r="N79" s="8"/>
      <c r="O79" s="8"/>
      <c r="P79" s="8"/>
      <c r="Q79" s="8">
        <v>37500</v>
      </c>
      <c r="R79" s="8"/>
      <c r="S79" s="8"/>
      <c r="T79" s="8"/>
      <c r="U79" s="47">
        <v>37500</v>
      </c>
      <c r="V79" s="8"/>
      <c r="W79" s="47">
        <v>37500</v>
      </c>
      <c r="Y79" s="73">
        <v>37500</v>
      </c>
      <c r="AA79" s="8">
        <f t="shared" si="137"/>
        <v>37500</v>
      </c>
      <c r="AB79" s="8">
        <f t="shared" si="138"/>
        <v>37500</v>
      </c>
      <c r="AC79" s="8">
        <f t="shared" si="139"/>
        <v>37500</v>
      </c>
      <c r="AE79" s="8">
        <f t="shared" si="140"/>
        <v>0</v>
      </c>
      <c r="AF79" s="8">
        <f t="shared" si="141"/>
        <v>0</v>
      </c>
      <c r="AG79" s="8">
        <f t="shared" si="142"/>
        <v>0</v>
      </c>
      <c r="AI79" s="8">
        <f t="shared" si="143"/>
        <v>0</v>
      </c>
      <c r="AJ79" s="8">
        <f t="shared" si="144"/>
        <v>0</v>
      </c>
      <c r="AK79" s="8">
        <f t="shared" si="145"/>
        <v>0</v>
      </c>
    </row>
    <row r="80" spans="1:37" s="29" customFormat="1" ht="10.8" thickBot="1" x14ac:dyDescent="0.25">
      <c r="A80" s="2"/>
      <c r="B80" s="2"/>
      <c r="C80" s="2"/>
      <c r="D80" s="2"/>
      <c r="E80" s="2"/>
      <c r="F80" s="2" t="s">
        <v>280</v>
      </c>
      <c r="G80" s="2"/>
      <c r="H80" s="8"/>
      <c r="I80" s="9"/>
      <c r="J80" s="8"/>
      <c r="K80" s="9"/>
      <c r="L80" s="8"/>
      <c r="M80" s="9"/>
      <c r="N80" s="8"/>
      <c r="O80" s="9">
        <v>300000</v>
      </c>
      <c r="P80" s="9"/>
      <c r="Q80" s="8">
        <v>150000</v>
      </c>
      <c r="R80" s="9"/>
      <c r="S80" s="9"/>
      <c r="T80" s="8"/>
      <c r="U80" s="9"/>
      <c r="V80" s="8"/>
      <c r="W80" s="9"/>
      <c r="Y80" s="85">
        <v>0</v>
      </c>
      <c r="AA80" s="9">
        <f t="shared" si="137"/>
        <v>225000</v>
      </c>
      <c r="AB80" s="9">
        <f t="shared" si="138"/>
        <v>300000</v>
      </c>
      <c r="AC80" s="9">
        <f t="shared" si="139"/>
        <v>150000</v>
      </c>
      <c r="AE80" s="9">
        <f t="shared" si="140"/>
        <v>-225000</v>
      </c>
      <c r="AF80" s="9">
        <f t="shared" si="141"/>
        <v>-300000</v>
      </c>
      <c r="AG80" s="9">
        <f t="shared" si="142"/>
        <v>-150000</v>
      </c>
      <c r="AI80" s="9">
        <f t="shared" si="143"/>
        <v>-225000</v>
      </c>
      <c r="AJ80" s="9">
        <f t="shared" si="144"/>
        <v>-300000</v>
      </c>
      <c r="AK80" s="9">
        <f t="shared" si="145"/>
        <v>-150000</v>
      </c>
    </row>
    <row r="81" spans="1:37" s="29" customFormat="1" ht="10.8" thickBot="1" x14ac:dyDescent="0.25">
      <c r="A81" s="2"/>
      <c r="B81" s="2"/>
      <c r="C81" s="2"/>
      <c r="D81" s="2"/>
      <c r="E81" s="2" t="s">
        <v>65</v>
      </c>
      <c r="F81" s="2"/>
      <c r="G81" s="2"/>
      <c r="H81" s="8"/>
      <c r="I81" s="12">
        <f>ROUND(SUM(I77:I80),5)</f>
        <v>0</v>
      </c>
      <c r="J81" s="8"/>
      <c r="K81" s="12">
        <f>ROUND(SUM(K77:K80),5)</f>
        <v>0</v>
      </c>
      <c r="L81" s="8"/>
      <c r="M81" s="12">
        <f>ROUND(SUM(M77:M80),5)</f>
        <v>67500</v>
      </c>
      <c r="N81" s="8"/>
      <c r="O81" s="12">
        <f>ROUND(SUM(O77:O80),5)</f>
        <v>360000</v>
      </c>
      <c r="P81" s="12"/>
      <c r="Q81" s="12">
        <f>ROUND(SUM(Q77:Q80),5)</f>
        <v>247500</v>
      </c>
      <c r="R81" s="9"/>
      <c r="S81" s="9"/>
      <c r="T81" s="8"/>
      <c r="U81" s="33">
        <f>ROUND(SUM(U77:U80),5)</f>
        <v>92500</v>
      </c>
      <c r="V81" s="8"/>
      <c r="W81" s="33">
        <f>ROUND(SUM(W77:W80),5)</f>
        <v>97500</v>
      </c>
      <c r="Y81" s="80">
        <f>ROUND(SUM(Y77:Y80),5)</f>
        <v>97500</v>
      </c>
      <c r="AA81" s="12">
        <f>ROUND(SUM(AA77:AA80),5)</f>
        <v>312500</v>
      </c>
      <c r="AB81" s="12">
        <f>ROUND(SUM(AB77:AB80),5)</f>
        <v>397500</v>
      </c>
      <c r="AC81" s="12">
        <f>ROUND(SUM(AC77:AC80),5)</f>
        <v>217500</v>
      </c>
      <c r="AE81" s="12">
        <f>ROUND(SUM(AE77:AE80),5)</f>
        <v>-220000</v>
      </c>
      <c r="AF81" s="12">
        <f>ROUND(SUM(AF77:AF80),5)</f>
        <v>-305000</v>
      </c>
      <c r="AG81" s="12">
        <f>ROUND(SUM(AG77:AG80),5)</f>
        <v>-125000</v>
      </c>
      <c r="AI81" s="12">
        <f>ROUND(SUM(AI77:AI80),5)</f>
        <v>-215000</v>
      </c>
      <c r="AJ81" s="12">
        <f>ROUND(SUM(AJ77:AJ80),5)</f>
        <v>-300000</v>
      </c>
      <c r="AK81" s="12">
        <f>ROUND(SUM(AK77:AK80),5)</f>
        <v>-120000</v>
      </c>
    </row>
    <row r="82" spans="1:37" s="29" customFormat="1" ht="10.8" thickBot="1" x14ac:dyDescent="0.25">
      <c r="A82" s="2"/>
      <c r="B82" s="2"/>
      <c r="C82" s="2"/>
      <c r="D82" s="2" t="s">
        <v>66</v>
      </c>
      <c r="E82" s="2"/>
      <c r="F82" s="2"/>
      <c r="G82" s="2"/>
      <c r="H82" s="8"/>
      <c r="I82" s="10">
        <f>ROUND(I4+I13+I32+I47+I60+I64+I68+I76+I81,5)</f>
        <v>3114940</v>
      </c>
      <c r="J82" s="8"/>
      <c r="K82" s="10">
        <f>ROUND(K4+K13+K32+K47+K60+K64+K68+K76+K81,5)</f>
        <v>3343296</v>
      </c>
      <c r="L82" s="8"/>
      <c r="M82" s="10">
        <f>ROUND(M4+M13+M32+M47+M60+M64+M68+M76+M81,5)</f>
        <v>3585618</v>
      </c>
      <c r="N82" s="8"/>
      <c r="O82" s="10">
        <f>ROUND(O4+O13+O32+O47+O60+O64+O68+O76+O81,5)</f>
        <v>3852059.68</v>
      </c>
      <c r="P82" s="10"/>
      <c r="Q82" s="10">
        <f>ROUND(Q4+Q13+Q32+Q47+Q60+Q64+Q68+Q76+Q81,5)</f>
        <v>4089773.72</v>
      </c>
      <c r="R82" s="9"/>
      <c r="S82" s="9"/>
      <c r="T82" s="8"/>
      <c r="U82" s="34">
        <f>ROUND(U4+U13+U32+U47+U60+U64+U68+U76+U81,5)</f>
        <v>3300378.93</v>
      </c>
      <c r="V82" s="8"/>
      <c r="W82" s="34">
        <f>ROUND(W4+W13+W32+W47+W60+W64+W68+W76+W81,5)</f>
        <v>3521700</v>
      </c>
      <c r="Y82" s="34">
        <f>ROUND(Y4+Y13+Y32+Y47+Y60+Y64+Y68+Y76+Y81,5)</f>
        <v>3704050</v>
      </c>
      <c r="AA82" s="10">
        <f>ROUND(AA4+AA13+AA32+AA47+AA60+AA64+AA68+AA76+AA81,5)</f>
        <v>3725675.1278300001</v>
      </c>
      <c r="AB82" s="10">
        <f>ROUND(AB4+AB13+AB32+AB47+AB60+AB64+AB68+AB76+AB81,5)</f>
        <v>4410704.1500000004</v>
      </c>
      <c r="AC82" s="10">
        <f>ROUND(AC4+AC13+AC32+AC47+AC60+AC64+AC68+AC76+AC81,5)</f>
        <v>3037524.11</v>
      </c>
      <c r="AE82" s="10">
        <f>ROUND(AE4+AE13+AE32+AE47+AE60+AE64+AE68+AE76+AE81,5)</f>
        <v>-783353.96583</v>
      </c>
      <c r="AF82" s="10">
        <f>ROUND(AF4+AF13+AF32+AF47+AF60+AF64+AF68+AF76+AF81,5)</f>
        <v>-1462418.61</v>
      </c>
      <c r="AG82" s="10">
        <f>ROUND(AG4+AG13+AG32+AG47+AG60+AG64+AG68+AG76+AG81,5)</f>
        <v>-100270.22</v>
      </c>
      <c r="AI82" s="10">
        <f>ROUND(AI4+AI13+AI32+AI47+AI60+AI64+AI68+AI76+AI81,5)</f>
        <v>-215000</v>
      </c>
      <c r="AJ82" s="10">
        <f>ROUND(AJ4+AJ13+AJ32+AJ47+AJ60+AJ64+AJ68+AJ76+AJ81,5)</f>
        <v>-300000</v>
      </c>
      <c r="AK82" s="10">
        <f>ROUND(AK4+AK13+AK32+AK47+AK60+AK64+AK68+AK76+AK81,5)</f>
        <v>-120000</v>
      </c>
    </row>
    <row r="83" spans="1:37" s="29" customFormat="1" x14ac:dyDescent="0.2">
      <c r="A83" s="2"/>
      <c r="B83" s="2"/>
      <c r="C83" s="2" t="s">
        <v>67</v>
      </c>
      <c r="D83" s="2"/>
      <c r="E83" s="2"/>
      <c r="F83" s="2"/>
      <c r="G83" s="2"/>
      <c r="H83" s="8"/>
      <c r="I83" s="8">
        <f>I82</f>
        <v>3114940</v>
      </c>
      <c r="J83" s="8"/>
      <c r="K83" s="8">
        <f>K82</f>
        <v>3343296</v>
      </c>
      <c r="L83" s="8"/>
      <c r="M83" s="8">
        <f>M82</f>
        <v>3585618</v>
      </c>
      <c r="N83" s="8"/>
      <c r="O83" s="8">
        <f>O82</f>
        <v>3852059.68</v>
      </c>
      <c r="P83" s="8"/>
      <c r="Q83" s="8">
        <f>Q82</f>
        <v>4089773.72</v>
      </c>
      <c r="R83" s="8"/>
      <c r="S83" s="8"/>
      <c r="T83" s="8"/>
      <c r="U83" s="31">
        <f>U82</f>
        <v>3300378.93</v>
      </c>
      <c r="V83" s="8"/>
      <c r="W83" s="31">
        <f>W82</f>
        <v>3521700</v>
      </c>
      <c r="Y83" s="67">
        <f>Y82</f>
        <v>3704050</v>
      </c>
      <c r="AA83" s="8">
        <f>AA82</f>
        <v>3725675.1278300001</v>
      </c>
      <c r="AB83" s="8">
        <f>AB82</f>
        <v>4410704.1500000004</v>
      </c>
      <c r="AC83" s="8">
        <f>AC82</f>
        <v>3037524.11</v>
      </c>
      <c r="AE83" s="8">
        <f>AE82</f>
        <v>-783353.96583</v>
      </c>
      <c r="AF83" s="8">
        <f>AF82</f>
        <v>-1462418.61</v>
      </c>
      <c r="AG83" s="8">
        <f>AG82</f>
        <v>-100270.22</v>
      </c>
      <c r="AI83" s="8">
        <f>AI82</f>
        <v>-215000</v>
      </c>
      <c r="AJ83" s="8">
        <f>AJ82</f>
        <v>-300000</v>
      </c>
      <c r="AK83" s="8">
        <f>AK82</f>
        <v>-120000</v>
      </c>
    </row>
    <row r="84" spans="1:37" s="29" customFormat="1" x14ac:dyDescent="0.2">
      <c r="A84" s="2"/>
      <c r="B84" s="2"/>
      <c r="C84" s="2"/>
      <c r="D84" s="2"/>
      <c r="E84" s="2"/>
      <c r="F84" s="2"/>
      <c r="G84" s="2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31"/>
      <c r="V84" s="8"/>
      <c r="W84" s="31"/>
      <c r="Y84" s="8"/>
      <c r="AA84" s="8"/>
      <c r="AB84" s="8"/>
      <c r="AC84" s="8"/>
      <c r="AE84" s="8"/>
      <c r="AF84" s="8"/>
      <c r="AG84" s="8"/>
      <c r="AI84" s="8"/>
      <c r="AJ84" s="8"/>
      <c r="AK84" s="8"/>
    </row>
    <row r="85" spans="1:37" s="29" customFormat="1" x14ac:dyDescent="0.2">
      <c r="A85" s="2"/>
      <c r="B85" s="2"/>
      <c r="C85" s="2"/>
      <c r="D85" s="24" t="s">
        <v>290</v>
      </c>
      <c r="E85" s="2"/>
      <c r="F85" s="2"/>
      <c r="G85" s="2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Y85" s="8"/>
      <c r="AA85" s="8"/>
      <c r="AB85" s="8"/>
      <c r="AC85" s="8"/>
      <c r="AE85" s="8"/>
      <c r="AF85" s="8"/>
      <c r="AG85" s="8"/>
      <c r="AI85" s="8"/>
      <c r="AJ85" s="8"/>
      <c r="AK85" s="8"/>
    </row>
    <row r="86" spans="1:37" s="29" customFormat="1" x14ac:dyDescent="0.2">
      <c r="A86" s="2"/>
      <c r="B86" s="2"/>
      <c r="C86" s="2"/>
      <c r="D86" s="2"/>
      <c r="E86" s="2"/>
      <c r="F86" s="2"/>
      <c r="G86" s="2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Y86" s="8"/>
      <c r="AA86" s="8"/>
      <c r="AB86" s="8"/>
      <c r="AC86" s="8"/>
      <c r="AE86" s="8"/>
      <c r="AF86" s="8"/>
      <c r="AG86" s="8"/>
      <c r="AI86" s="8"/>
      <c r="AJ86" s="8"/>
      <c r="AK86" s="8"/>
    </row>
    <row r="87" spans="1:37" s="29" customFormat="1" x14ac:dyDescent="0.2">
      <c r="A87" s="2"/>
      <c r="B87" s="2"/>
      <c r="C87" s="2"/>
      <c r="D87" s="2"/>
      <c r="E87" s="24" t="s">
        <v>68</v>
      </c>
      <c r="F87" s="2"/>
      <c r="G87" s="2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Y87" s="8"/>
      <c r="AA87" s="8"/>
      <c r="AB87" s="8"/>
      <c r="AC87" s="8"/>
      <c r="AE87" s="8"/>
      <c r="AF87" s="8"/>
      <c r="AG87" s="8"/>
      <c r="AI87" s="8"/>
      <c r="AJ87" s="8"/>
      <c r="AK87" s="8"/>
    </row>
    <row r="88" spans="1:37" s="29" customFormat="1" x14ac:dyDescent="0.2">
      <c r="A88" s="2"/>
      <c r="B88" s="2"/>
      <c r="C88" s="2"/>
      <c r="D88" s="2"/>
      <c r="E88" s="2"/>
      <c r="F88" s="2" t="s">
        <v>69</v>
      </c>
      <c r="G88" s="2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Y88" s="8"/>
      <c r="AA88" s="8"/>
      <c r="AB88" s="8"/>
      <c r="AC88" s="8"/>
      <c r="AE88" s="8"/>
      <c r="AF88" s="8"/>
      <c r="AG88" s="8"/>
      <c r="AI88" s="8"/>
      <c r="AJ88" s="8"/>
      <c r="AK88" s="8"/>
    </row>
    <row r="89" spans="1:37" s="29" customFormat="1" x14ac:dyDescent="0.2">
      <c r="A89" s="2"/>
      <c r="B89" s="2"/>
      <c r="C89" s="2"/>
      <c r="D89" s="2"/>
      <c r="E89" s="2"/>
      <c r="F89" s="2"/>
      <c r="G89" s="2" t="s">
        <v>70</v>
      </c>
      <c r="H89" s="8"/>
      <c r="I89" s="8">
        <v>26666</v>
      </c>
      <c r="J89" s="8"/>
      <c r="K89" s="8">
        <v>29236</v>
      </c>
      <c r="L89" s="8"/>
      <c r="M89" s="8">
        <v>32191</v>
      </c>
      <c r="N89" s="8"/>
      <c r="O89" s="8">
        <v>32213.9</v>
      </c>
      <c r="P89" s="8"/>
      <c r="Q89" s="8">
        <v>27207.599999999999</v>
      </c>
      <c r="R89" s="8"/>
      <c r="S89" s="8"/>
      <c r="T89" s="8"/>
      <c r="U89" s="46">
        <f>28400.19+790.5</f>
        <v>29190.69</v>
      </c>
      <c r="V89" s="8"/>
      <c r="W89" s="46">
        <v>25000</v>
      </c>
      <c r="Y89" s="73">
        <v>35000</v>
      </c>
      <c r="AA89" s="8">
        <f t="shared" ref="AA89:AA107" si="146">AVERAGE(I89:Q89)</f>
        <v>29502.9</v>
      </c>
      <c r="AB89" s="8">
        <f t="shared" ref="AB89:AB112" si="147">MAX(I89:Q89)</f>
        <v>32213.9</v>
      </c>
      <c r="AC89" s="8">
        <f t="shared" ref="AC89:AC112" si="148">MIN(I89:Q89)</f>
        <v>26666</v>
      </c>
      <c r="AE89" s="8">
        <f t="shared" ref="AE89:AE112" si="149">+U89-AA89</f>
        <v>-312.21000000000276</v>
      </c>
      <c r="AF89" s="8">
        <f t="shared" ref="AF89:AF112" si="150">+U89-AB89</f>
        <v>-3023.2100000000028</v>
      </c>
      <c r="AG89" s="8">
        <f t="shared" ref="AG89:AG112" si="151">+U89-AC89</f>
        <v>2524.6899999999987</v>
      </c>
      <c r="AI89" s="8">
        <f t="shared" ref="AI89:AI112" si="152">+W89-AA89</f>
        <v>-4502.9000000000015</v>
      </c>
      <c r="AJ89" s="8">
        <f t="shared" ref="AJ89:AJ112" si="153">+W89-AB89</f>
        <v>-7213.9000000000015</v>
      </c>
      <c r="AK89" s="8">
        <f t="shared" ref="AK89:AK112" si="154">+W89-AC89</f>
        <v>-1666</v>
      </c>
    </row>
    <row r="90" spans="1:37" s="29" customFormat="1" x14ac:dyDescent="0.2">
      <c r="A90" s="2"/>
      <c r="B90" s="2"/>
      <c r="C90" s="2"/>
      <c r="D90" s="2"/>
      <c r="E90" s="2"/>
      <c r="F90" s="2"/>
      <c r="G90" s="2" t="s">
        <v>369</v>
      </c>
      <c r="H90" s="8"/>
      <c r="I90" s="8">
        <v>5765</v>
      </c>
      <c r="J90" s="8"/>
      <c r="K90" s="8">
        <v>6464</v>
      </c>
      <c r="L90" s="8"/>
      <c r="M90" s="8">
        <v>6041</v>
      </c>
      <c r="N90" s="8"/>
      <c r="O90" s="8">
        <v>7678.54</v>
      </c>
      <c r="P90" s="8"/>
      <c r="Q90" s="8">
        <v>6378.18</v>
      </c>
      <c r="R90" s="8"/>
      <c r="S90" s="8"/>
      <c r="T90" s="8"/>
      <c r="U90" s="47">
        <v>5667.37</v>
      </c>
      <c r="V90" s="8"/>
      <c r="W90" s="47">
        <v>6100</v>
      </c>
      <c r="Y90" s="73">
        <v>6000</v>
      </c>
      <c r="AA90" s="8">
        <f t="shared" si="146"/>
        <v>6465.3440000000001</v>
      </c>
      <c r="AB90" s="8">
        <f t="shared" si="147"/>
        <v>7678.54</v>
      </c>
      <c r="AC90" s="8">
        <f t="shared" si="148"/>
        <v>5765</v>
      </c>
      <c r="AE90" s="8">
        <f t="shared" si="149"/>
        <v>-797.97400000000016</v>
      </c>
      <c r="AF90" s="8">
        <f t="shared" si="150"/>
        <v>-2011.17</v>
      </c>
      <c r="AG90" s="8">
        <f t="shared" si="151"/>
        <v>-97.630000000000109</v>
      </c>
      <c r="AI90" s="8">
        <f t="shared" si="152"/>
        <v>-365.34400000000005</v>
      </c>
      <c r="AJ90" s="8">
        <f t="shared" si="153"/>
        <v>-1578.54</v>
      </c>
      <c r="AK90" s="8">
        <f t="shared" si="154"/>
        <v>335</v>
      </c>
    </row>
    <row r="91" spans="1:37" s="29" customFormat="1" x14ac:dyDescent="0.2">
      <c r="A91" s="2"/>
      <c r="B91" s="2"/>
      <c r="C91" s="2"/>
      <c r="D91" s="2"/>
      <c r="E91" s="2"/>
      <c r="F91" s="2"/>
      <c r="G91" s="2" t="s">
        <v>370</v>
      </c>
      <c r="H91" s="8"/>
      <c r="I91" s="8">
        <v>10396</v>
      </c>
      <c r="J91" s="8"/>
      <c r="K91" s="8">
        <v>15145</v>
      </c>
      <c r="L91" s="8"/>
      <c r="M91" s="8">
        <v>9080</v>
      </c>
      <c r="N91" s="8"/>
      <c r="O91" s="8">
        <v>6545.68</v>
      </c>
      <c r="P91" s="8"/>
      <c r="Q91" s="8">
        <v>11182.13</v>
      </c>
      <c r="R91" s="8"/>
      <c r="S91" s="8"/>
      <c r="T91" s="8"/>
      <c r="U91" s="8">
        <v>2692.78</v>
      </c>
      <c r="V91" s="8"/>
      <c r="W91" s="47">
        <v>3000</v>
      </c>
      <c r="Y91" s="73">
        <v>3000</v>
      </c>
      <c r="AA91" s="8">
        <f t="shared" si="146"/>
        <v>10469.761999999999</v>
      </c>
      <c r="AB91" s="8">
        <f t="shared" si="147"/>
        <v>15145</v>
      </c>
      <c r="AC91" s="8">
        <f t="shared" si="148"/>
        <v>6545.68</v>
      </c>
      <c r="AE91" s="8">
        <f t="shared" si="149"/>
        <v>-7776.9819999999982</v>
      </c>
      <c r="AF91" s="8">
        <f t="shared" si="150"/>
        <v>-12452.22</v>
      </c>
      <c r="AG91" s="8">
        <f t="shared" si="151"/>
        <v>-3852.9</v>
      </c>
      <c r="AI91" s="8">
        <f t="shared" si="152"/>
        <v>-7469.7619999999988</v>
      </c>
      <c r="AJ91" s="8">
        <f t="shared" si="153"/>
        <v>-12145</v>
      </c>
      <c r="AK91" s="8">
        <f t="shared" si="154"/>
        <v>-3545.6800000000003</v>
      </c>
    </row>
    <row r="92" spans="1:37" s="32" customFormat="1" x14ac:dyDescent="0.2">
      <c r="A92" s="2"/>
      <c r="B92" s="2"/>
      <c r="C92" s="2"/>
      <c r="D92" s="2"/>
      <c r="E92" s="2"/>
      <c r="F92" s="29"/>
      <c r="G92" s="2" t="s">
        <v>371</v>
      </c>
      <c r="H92" s="8"/>
      <c r="I92" s="9"/>
      <c r="J92" s="9"/>
      <c r="K92" s="9">
        <v>657</v>
      </c>
      <c r="L92" s="9"/>
      <c r="M92" s="9">
        <v>1272</v>
      </c>
      <c r="N92" s="9"/>
      <c r="O92" s="9">
        <v>1614.58</v>
      </c>
      <c r="P92" s="9"/>
      <c r="Q92" s="9">
        <v>1630.56</v>
      </c>
      <c r="R92" s="9"/>
      <c r="S92" s="9"/>
      <c r="T92" s="9"/>
      <c r="U92" s="8">
        <v>2987.59</v>
      </c>
      <c r="V92" s="9"/>
      <c r="W92" s="50">
        <v>1200</v>
      </c>
      <c r="Y92" s="81">
        <v>3000</v>
      </c>
      <c r="AA92" s="9">
        <f>AVERAGE(I92:Q92)</f>
        <v>1293.5349999999999</v>
      </c>
      <c r="AB92" s="9">
        <f>MAX(I92:Q92)</f>
        <v>1630.56</v>
      </c>
      <c r="AC92" s="9">
        <f>MIN(I92:Q92)</f>
        <v>657</v>
      </c>
      <c r="AE92" s="9">
        <f t="shared" ref="AE92" si="155">+U92-AA92</f>
        <v>1694.0550000000003</v>
      </c>
      <c r="AF92" s="9">
        <f t="shared" ref="AF92" si="156">+U92-AB92</f>
        <v>1357.0300000000002</v>
      </c>
      <c r="AG92" s="9">
        <f t="shared" ref="AG92" si="157">+U92-AC92</f>
        <v>2330.59</v>
      </c>
      <c r="AI92" s="9">
        <f t="shared" ref="AI92" si="158">+W92-AA92</f>
        <v>-93.534999999999854</v>
      </c>
      <c r="AJ92" s="9">
        <f t="shared" ref="AJ92" si="159">+W92-AB92</f>
        <v>-430.55999999999995</v>
      </c>
      <c r="AK92" s="9">
        <f t="shared" ref="AK92" si="160">+W92-AC92</f>
        <v>543</v>
      </c>
    </row>
    <row r="93" spans="1:37" s="29" customFormat="1" x14ac:dyDescent="0.2">
      <c r="A93" s="2"/>
      <c r="B93" s="2"/>
      <c r="C93" s="2"/>
      <c r="D93" s="2"/>
      <c r="E93" s="2"/>
      <c r="F93" s="2"/>
      <c r="G93" s="2" t="s">
        <v>73</v>
      </c>
      <c r="H93" s="8"/>
      <c r="I93" s="8">
        <v>3429</v>
      </c>
      <c r="J93" s="8"/>
      <c r="K93" s="8">
        <v>3112</v>
      </c>
      <c r="L93" s="8"/>
      <c r="M93" s="8">
        <v>3688</v>
      </c>
      <c r="N93" s="8"/>
      <c r="O93" s="8">
        <v>9563.14</v>
      </c>
      <c r="P93" s="8"/>
      <c r="Q93" s="8">
        <v>1915.3</v>
      </c>
      <c r="R93" s="8"/>
      <c r="S93" s="8"/>
      <c r="T93" s="8"/>
      <c r="U93" s="8">
        <v>5759.79</v>
      </c>
      <c r="V93" s="8"/>
      <c r="W93" s="47">
        <v>5000</v>
      </c>
      <c r="Y93" s="73">
        <v>5000</v>
      </c>
      <c r="AA93" s="8">
        <f t="shared" si="146"/>
        <v>4341.4879999999994</v>
      </c>
      <c r="AB93" s="8">
        <f t="shared" si="147"/>
        <v>9563.14</v>
      </c>
      <c r="AC93" s="8">
        <f t="shared" si="148"/>
        <v>1915.3</v>
      </c>
      <c r="AE93" s="8">
        <f t="shared" si="149"/>
        <v>1418.3020000000006</v>
      </c>
      <c r="AF93" s="8">
        <f t="shared" si="150"/>
        <v>-3803.3499999999995</v>
      </c>
      <c r="AG93" s="8">
        <f t="shared" si="151"/>
        <v>3844.49</v>
      </c>
      <c r="AI93" s="8">
        <f t="shared" si="152"/>
        <v>658.51200000000063</v>
      </c>
      <c r="AJ93" s="8">
        <f t="shared" si="153"/>
        <v>-4563.1399999999994</v>
      </c>
      <c r="AK93" s="8">
        <f t="shared" si="154"/>
        <v>3084.7</v>
      </c>
    </row>
    <row r="94" spans="1:37" s="29" customFormat="1" x14ac:dyDescent="0.2">
      <c r="A94" s="2"/>
      <c r="B94" s="2"/>
      <c r="C94" s="2"/>
      <c r="D94" s="2"/>
      <c r="E94" s="2"/>
      <c r="F94" s="2"/>
      <c r="G94" s="2" t="s">
        <v>74</v>
      </c>
      <c r="H94" s="8"/>
      <c r="I94" s="8">
        <v>4204</v>
      </c>
      <c r="J94" s="8"/>
      <c r="K94" s="8">
        <v>4860</v>
      </c>
      <c r="L94" s="8"/>
      <c r="M94" s="8">
        <v>2019</v>
      </c>
      <c r="N94" s="8"/>
      <c r="O94" s="8">
        <v>2233.83</v>
      </c>
      <c r="P94" s="8"/>
      <c r="Q94" s="8">
        <v>1404.87</v>
      </c>
      <c r="R94" s="8"/>
      <c r="S94" s="8"/>
      <c r="T94" s="8"/>
      <c r="U94" s="8">
        <v>1932.39</v>
      </c>
      <c r="V94" s="8"/>
      <c r="W94" s="47">
        <v>2000</v>
      </c>
      <c r="Y94" s="73">
        <v>2000</v>
      </c>
      <c r="AA94" s="8">
        <f t="shared" si="146"/>
        <v>2944.34</v>
      </c>
      <c r="AB94" s="8">
        <f t="shared" si="147"/>
        <v>4860</v>
      </c>
      <c r="AC94" s="8">
        <f t="shared" si="148"/>
        <v>1404.87</v>
      </c>
      <c r="AE94" s="8">
        <f t="shared" si="149"/>
        <v>-1011.95</v>
      </c>
      <c r="AF94" s="8">
        <f t="shared" si="150"/>
        <v>-2927.6099999999997</v>
      </c>
      <c r="AG94" s="8">
        <f t="shared" si="151"/>
        <v>527.52000000000021</v>
      </c>
      <c r="AI94" s="8">
        <f t="shared" si="152"/>
        <v>-944.34000000000015</v>
      </c>
      <c r="AJ94" s="8">
        <f t="shared" si="153"/>
        <v>-2860</v>
      </c>
      <c r="AK94" s="8">
        <f t="shared" si="154"/>
        <v>595.13000000000011</v>
      </c>
    </row>
    <row r="95" spans="1:37" s="29" customFormat="1" x14ac:dyDescent="0.2">
      <c r="A95" s="2"/>
      <c r="B95" s="2"/>
      <c r="C95" s="2"/>
      <c r="D95" s="2"/>
      <c r="E95" s="2"/>
      <c r="F95" s="2"/>
      <c r="G95" s="51" t="s">
        <v>75</v>
      </c>
      <c r="H95" s="8"/>
      <c r="I95" s="8">
        <v>5150</v>
      </c>
      <c r="J95" s="8"/>
      <c r="K95" s="8">
        <v>6650</v>
      </c>
      <c r="L95" s="8"/>
      <c r="M95" s="8">
        <v>6450</v>
      </c>
      <c r="N95" s="8"/>
      <c r="O95" s="8">
        <v>18624.55</v>
      </c>
      <c r="P95" s="8"/>
      <c r="Q95" s="8">
        <v>6303.43</v>
      </c>
      <c r="R95" s="8"/>
      <c r="S95" s="8"/>
      <c r="T95" s="8"/>
      <c r="U95" s="8">
        <v>7062.9</v>
      </c>
      <c r="V95" s="8"/>
      <c r="W95" s="47">
        <v>6000</v>
      </c>
      <c r="Y95" s="73">
        <v>7500</v>
      </c>
      <c r="AA95" s="8">
        <f t="shared" si="146"/>
        <v>8635.5960000000014</v>
      </c>
      <c r="AB95" s="8">
        <f t="shared" si="147"/>
        <v>18624.55</v>
      </c>
      <c r="AC95" s="8">
        <f t="shared" si="148"/>
        <v>5150</v>
      </c>
      <c r="AE95" s="8">
        <f t="shared" si="149"/>
        <v>-1572.6960000000017</v>
      </c>
      <c r="AF95" s="8">
        <f t="shared" si="150"/>
        <v>-11561.65</v>
      </c>
      <c r="AG95" s="8">
        <f t="shared" si="151"/>
        <v>1912.8999999999996</v>
      </c>
      <c r="AI95" s="8">
        <f t="shared" si="152"/>
        <v>-2635.5960000000014</v>
      </c>
      <c r="AJ95" s="8">
        <f t="shared" si="153"/>
        <v>-12624.55</v>
      </c>
      <c r="AK95" s="8">
        <f t="shared" si="154"/>
        <v>850</v>
      </c>
    </row>
    <row r="96" spans="1:37" s="29" customFormat="1" x14ac:dyDescent="0.2">
      <c r="A96" s="2"/>
      <c r="B96" s="2"/>
      <c r="C96" s="2"/>
      <c r="D96" s="2"/>
      <c r="E96" s="2"/>
      <c r="F96" s="2"/>
      <c r="G96" s="51" t="s">
        <v>76</v>
      </c>
      <c r="H96" s="8"/>
      <c r="I96" s="8">
        <v>3997</v>
      </c>
      <c r="J96" s="8"/>
      <c r="K96" s="8">
        <v>5190</v>
      </c>
      <c r="L96" s="8"/>
      <c r="M96" s="8">
        <v>6583</v>
      </c>
      <c r="N96" s="8"/>
      <c r="O96" s="8">
        <v>2189.41</v>
      </c>
      <c r="P96" s="8"/>
      <c r="Q96" s="8">
        <v>1305</v>
      </c>
      <c r="R96" s="8"/>
      <c r="S96" s="8"/>
      <c r="T96" s="8"/>
      <c r="U96" s="8">
        <v>2799.97</v>
      </c>
      <c r="V96" s="8"/>
      <c r="W96" s="47">
        <v>3000</v>
      </c>
      <c r="Y96" s="73">
        <v>5000</v>
      </c>
      <c r="AA96" s="8">
        <f t="shared" si="146"/>
        <v>3852.8820000000001</v>
      </c>
      <c r="AB96" s="8">
        <f t="shared" si="147"/>
        <v>6583</v>
      </c>
      <c r="AC96" s="8">
        <f t="shared" si="148"/>
        <v>1305</v>
      </c>
      <c r="AE96" s="8">
        <f t="shared" si="149"/>
        <v>-1052.9120000000003</v>
      </c>
      <c r="AF96" s="8">
        <f t="shared" si="150"/>
        <v>-3783.03</v>
      </c>
      <c r="AG96" s="8">
        <f t="shared" si="151"/>
        <v>1494.9699999999998</v>
      </c>
      <c r="AI96" s="8">
        <f t="shared" si="152"/>
        <v>-852.88200000000006</v>
      </c>
      <c r="AJ96" s="8">
        <f t="shared" si="153"/>
        <v>-3583</v>
      </c>
      <c r="AK96" s="8">
        <f t="shared" si="154"/>
        <v>1695</v>
      </c>
    </row>
    <row r="97" spans="1:37" s="29" customFormat="1" x14ac:dyDescent="0.2">
      <c r="A97" s="2"/>
      <c r="B97" s="2"/>
      <c r="C97" s="2"/>
      <c r="D97" s="2"/>
      <c r="E97" s="2"/>
      <c r="F97" s="2"/>
      <c r="G97" s="2" t="s">
        <v>77</v>
      </c>
      <c r="H97" s="8"/>
      <c r="I97" s="8">
        <v>81313</v>
      </c>
      <c r="J97" s="8"/>
      <c r="K97" s="8">
        <v>106812</v>
      </c>
      <c r="L97" s="8"/>
      <c r="M97" s="8">
        <v>69269</v>
      </c>
      <c r="N97" s="8"/>
      <c r="O97" s="8">
        <v>36606.35</v>
      </c>
      <c r="P97" s="8"/>
      <c r="Q97" s="8">
        <v>93775.72</v>
      </c>
      <c r="R97" s="8"/>
      <c r="S97" s="8"/>
      <c r="T97" s="8"/>
      <c r="U97" s="8">
        <v>63368.52</v>
      </c>
      <c r="V97" s="8"/>
      <c r="W97" s="47">
        <v>60000</v>
      </c>
      <c r="Y97" s="88">
        <v>63000</v>
      </c>
      <c r="AA97" s="8">
        <f t="shared" si="146"/>
        <v>77555.213999999993</v>
      </c>
      <c r="AB97" s="8">
        <f t="shared" si="147"/>
        <v>106812</v>
      </c>
      <c r="AC97" s="8">
        <f t="shared" si="148"/>
        <v>36606.35</v>
      </c>
      <c r="AE97" s="8">
        <f t="shared" si="149"/>
        <v>-14186.693999999996</v>
      </c>
      <c r="AF97" s="8">
        <f t="shared" si="150"/>
        <v>-43443.48</v>
      </c>
      <c r="AG97" s="8">
        <f t="shared" si="151"/>
        <v>26762.17</v>
      </c>
      <c r="AI97" s="8">
        <f t="shared" si="152"/>
        <v>-17555.213999999993</v>
      </c>
      <c r="AJ97" s="8">
        <f t="shared" si="153"/>
        <v>-46812</v>
      </c>
      <c r="AK97" s="8">
        <f t="shared" si="154"/>
        <v>23393.65</v>
      </c>
    </row>
    <row r="98" spans="1:37" s="29" customFormat="1" x14ac:dyDescent="0.2">
      <c r="A98" s="2"/>
      <c r="B98" s="2"/>
      <c r="C98" s="2"/>
      <c r="D98" s="2"/>
      <c r="E98" s="2"/>
      <c r="F98" s="2"/>
      <c r="G98" s="2" t="s">
        <v>78</v>
      </c>
      <c r="H98" s="8"/>
      <c r="I98" s="8">
        <v>135000</v>
      </c>
      <c r="J98" s="8"/>
      <c r="K98" s="8">
        <v>77794</v>
      </c>
      <c r="L98" s="8"/>
      <c r="M98" s="8">
        <v>32035</v>
      </c>
      <c r="N98" s="8"/>
      <c r="O98" s="8">
        <v>471851.13</v>
      </c>
      <c r="P98" s="8"/>
      <c r="Q98" s="8">
        <v>11983.9</v>
      </c>
      <c r="R98" s="8"/>
      <c r="S98" s="8"/>
      <c r="T98" s="8"/>
      <c r="U98" s="8">
        <v>236205.31</v>
      </c>
      <c r="V98" s="8"/>
      <c r="W98" s="47">
        <v>42000</v>
      </c>
      <c r="Y98" s="88">
        <v>42000</v>
      </c>
      <c r="AA98" s="8">
        <f t="shared" si="146"/>
        <v>145732.80600000001</v>
      </c>
      <c r="AB98" s="8">
        <f t="shared" si="147"/>
        <v>471851.13</v>
      </c>
      <c r="AC98" s="8">
        <f t="shared" si="148"/>
        <v>11983.9</v>
      </c>
      <c r="AE98" s="8">
        <f t="shared" si="149"/>
        <v>90472.503999999986</v>
      </c>
      <c r="AF98" s="8">
        <f t="shared" si="150"/>
        <v>-235645.82</v>
      </c>
      <c r="AG98" s="8">
        <f t="shared" si="151"/>
        <v>224221.41</v>
      </c>
      <c r="AI98" s="8">
        <f t="shared" si="152"/>
        <v>-103732.80600000001</v>
      </c>
      <c r="AJ98" s="8">
        <f t="shared" si="153"/>
        <v>-429851.13</v>
      </c>
      <c r="AK98" s="8">
        <f t="shared" si="154"/>
        <v>30016.1</v>
      </c>
    </row>
    <row r="99" spans="1:37" s="29" customFormat="1" x14ac:dyDescent="0.2">
      <c r="A99" s="2"/>
      <c r="B99" s="2"/>
      <c r="C99" s="2"/>
      <c r="D99" s="2"/>
      <c r="E99" s="2"/>
      <c r="F99" s="2"/>
      <c r="G99" s="2" t="s">
        <v>79</v>
      </c>
      <c r="H99" s="8"/>
      <c r="I99" s="8">
        <v>15750</v>
      </c>
      <c r="J99" s="8"/>
      <c r="K99" s="8">
        <v>16550</v>
      </c>
      <c r="L99" s="8"/>
      <c r="M99" s="8">
        <v>17000</v>
      </c>
      <c r="N99" s="8"/>
      <c r="O99" s="8">
        <v>17750</v>
      </c>
      <c r="P99" s="8"/>
      <c r="Q99" s="8">
        <v>19762.5</v>
      </c>
      <c r="R99" s="8"/>
      <c r="S99" s="8"/>
      <c r="T99" s="8"/>
      <c r="U99" s="8">
        <v>20060</v>
      </c>
      <c r="V99" s="8"/>
      <c r="W99" s="46">
        <v>20000</v>
      </c>
      <c r="Y99" s="73">
        <v>20750</v>
      </c>
      <c r="AA99" s="8">
        <f t="shared" si="146"/>
        <v>17362.5</v>
      </c>
      <c r="AB99" s="8">
        <f t="shared" si="147"/>
        <v>19762.5</v>
      </c>
      <c r="AC99" s="8">
        <f t="shared" si="148"/>
        <v>15750</v>
      </c>
      <c r="AE99" s="8">
        <f t="shared" si="149"/>
        <v>2697.5</v>
      </c>
      <c r="AF99" s="8">
        <f t="shared" si="150"/>
        <v>297.5</v>
      </c>
      <c r="AG99" s="8">
        <f t="shared" si="151"/>
        <v>4310</v>
      </c>
      <c r="AI99" s="8">
        <f t="shared" si="152"/>
        <v>2637.5</v>
      </c>
      <c r="AJ99" s="8">
        <f t="shared" si="153"/>
        <v>237.5</v>
      </c>
      <c r="AK99" s="8">
        <f t="shared" si="154"/>
        <v>4250</v>
      </c>
    </row>
    <row r="100" spans="1:37" s="29" customFormat="1" x14ac:dyDescent="0.2">
      <c r="A100" s="2"/>
      <c r="B100" s="2"/>
      <c r="C100" s="2"/>
      <c r="D100" s="2"/>
      <c r="E100" s="2"/>
      <c r="F100" s="2"/>
      <c r="G100" s="2" t="s">
        <v>293</v>
      </c>
      <c r="H100" s="8"/>
      <c r="I100" s="8"/>
      <c r="J100" s="8"/>
      <c r="K100" s="8">
        <v>1462</v>
      </c>
      <c r="L100" s="8"/>
      <c r="M100" s="8">
        <v>853</v>
      </c>
      <c r="N100" s="8"/>
      <c r="O100" s="8">
        <v>22.68</v>
      </c>
      <c r="P100" s="8"/>
      <c r="Q100" s="8">
        <v>2643</v>
      </c>
      <c r="R100" s="8"/>
      <c r="S100" s="8"/>
      <c r="T100" s="8"/>
      <c r="U100" s="8">
        <v>1600.4</v>
      </c>
      <c r="V100" s="8"/>
      <c r="W100" s="47">
        <v>2000</v>
      </c>
      <c r="Y100" s="73">
        <v>2000</v>
      </c>
      <c r="AA100" s="8">
        <f t="shared" si="146"/>
        <v>1245.17</v>
      </c>
      <c r="AB100" s="8">
        <f t="shared" si="147"/>
        <v>2643</v>
      </c>
      <c r="AC100" s="8">
        <f t="shared" si="148"/>
        <v>22.68</v>
      </c>
      <c r="AE100" s="8">
        <f t="shared" si="149"/>
        <v>355.23</v>
      </c>
      <c r="AF100" s="8">
        <f t="shared" si="150"/>
        <v>-1042.5999999999999</v>
      </c>
      <c r="AG100" s="8">
        <f t="shared" si="151"/>
        <v>1577.72</v>
      </c>
      <c r="AI100" s="8">
        <f t="shared" si="152"/>
        <v>754.82999999999993</v>
      </c>
      <c r="AJ100" s="8">
        <f t="shared" si="153"/>
        <v>-643</v>
      </c>
      <c r="AK100" s="8">
        <f t="shared" si="154"/>
        <v>1977.32</v>
      </c>
    </row>
    <row r="101" spans="1:37" s="29" customFormat="1" x14ac:dyDescent="0.2">
      <c r="A101" s="2"/>
      <c r="B101" s="2"/>
      <c r="C101" s="2"/>
      <c r="D101" s="2"/>
      <c r="E101" s="2"/>
      <c r="F101" s="2"/>
      <c r="G101" s="51" t="s">
        <v>80</v>
      </c>
      <c r="H101" s="8"/>
      <c r="I101" s="8">
        <v>8367</v>
      </c>
      <c r="J101" s="8"/>
      <c r="K101" s="8">
        <v>21875</v>
      </c>
      <c r="L101" s="8"/>
      <c r="M101" s="8">
        <v>8361</v>
      </c>
      <c r="N101" s="8"/>
      <c r="O101" s="8">
        <v>934.71</v>
      </c>
      <c r="P101" s="8"/>
      <c r="Q101" s="8">
        <v>3155.88</v>
      </c>
      <c r="R101" s="8"/>
      <c r="S101" s="8"/>
      <c r="T101" s="8"/>
      <c r="U101" s="8">
        <v>3125.2</v>
      </c>
      <c r="V101" s="8"/>
      <c r="W101" s="47">
        <v>3000</v>
      </c>
      <c r="Y101" s="73">
        <v>3000</v>
      </c>
      <c r="AA101" s="8">
        <f t="shared" si="146"/>
        <v>8538.7179999999989</v>
      </c>
      <c r="AB101" s="8">
        <f t="shared" si="147"/>
        <v>21875</v>
      </c>
      <c r="AC101" s="8">
        <f t="shared" si="148"/>
        <v>934.71</v>
      </c>
      <c r="AE101" s="8">
        <f t="shared" si="149"/>
        <v>-5413.5179999999991</v>
      </c>
      <c r="AF101" s="8">
        <f t="shared" si="150"/>
        <v>-18749.8</v>
      </c>
      <c r="AG101" s="8">
        <f t="shared" si="151"/>
        <v>2190.4899999999998</v>
      </c>
      <c r="AI101" s="8">
        <f t="shared" si="152"/>
        <v>-5538.7179999999989</v>
      </c>
      <c r="AJ101" s="8">
        <f t="shared" si="153"/>
        <v>-18875</v>
      </c>
      <c r="AK101" s="8">
        <f t="shared" si="154"/>
        <v>2065.29</v>
      </c>
    </row>
    <row r="102" spans="1:37" s="29" customFormat="1" x14ac:dyDescent="0.2">
      <c r="A102" s="2"/>
      <c r="B102" s="2"/>
      <c r="C102" s="2"/>
      <c r="D102" s="2"/>
      <c r="E102" s="2"/>
      <c r="F102" s="2"/>
      <c r="G102" s="2" t="s">
        <v>81</v>
      </c>
      <c r="H102" s="8"/>
      <c r="I102" s="8">
        <v>2047</v>
      </c>
      <c r="J102" s="8"/>
      <c r="K102" s="8">
        <v>2616</v>
      </c>
      <c r="L102" s="8"/>
      <c r="M102" s="8">
        <v>4557</v>
      </c>
      <c r="N102" s="8"/>
      <c r="O102" s="8">
        <v>11738.48</v>
      </c>
      <c r="P102" s="8"/>
      <c r="Q102" s="8">
        <v>43850.73</v>
      </c>
      <c r="R102" s="8"/>
      <c r="S102" s="8"/>
      <c r="T102" s="8"/>
      <c r="U102" s="8">
        <v>35446.26</v>
      </c>
      <c r="V102" s="8"/>
      <c r="W102" s="47">
        <v>40000</v>
      </c>
      <c r="Y102" s="73">
        <v>60000</v>
      </c>
      <c r="AA102" s="8">
        <f t="shared" si="146"/>
        <v>12961.842000000001</v>
      </c>
      <c r="AB102" s="8">
        <f t="shared" si="147"/>
        <v>43850.73</v>
      </c>
      <c r="AC102" s="8">
        <f t="shared" si="148"/>
        <v>2047</v>
      </c>
      <c r="AE102" s="8">
        <f t="shared" si="149"/>
        <v>22484.418000000001</v>
      </c>
      <c r="AF102" s="8">
        <f t="shared" si="150"/>
        <v>-8404.4700000000012</v>
      </c>
      <c r="AG102" s="8">
        <f t="shared" si="151"/>
        <v>33399.26</v>
      </c>
      <c r="AI102" s="8">
        <f t="shared" si="152"/>
        <v>27038.157999999999</v>
      </c>
      <c r="AJ102" s="8">
        <f t="shared" si="153"/>
        <v>-3850.7300000000032</v>
      </c>
      <c r="AK102" s="8">
        <f t="shared" si="154"/>
        <v>37953</v>
      </c>
    </row>
    <row r="103" spans="1:37" s="29" customFormat="1" x14ac:dyDescent="0.2">
      <c r="A103" s="2"/>
      <c r="B103" s="2"/>
      <c r="C103" s="2"/>
      <c r="D103" s="2"/>
      <c r="E103" s="2"/>
      <c r="F103" s="2"/>
      <c r="G103" s="2" t="s">
        <v>82</v>
      </c>
      <c r="H103" s="8"/>
      <c r="I103" s="8">
        <v>5359</v>
      </c>
      <c r="J103" s="8"/>
      <c r="K103" s="8">
        <v>1631</v>
      </c>
      <c r="L103" s="8"/>
      <c r="M103" s="8">
        <v>3681</v>
      </c>
      <c r="N103" s="8"/>
      <c r="O103" s="8">
        <v>0</v>
      </c>
      <c r="P103" s="8"/>
      <c r="Q103" s="8">
        <v>0</v>
      </c>
      <c r="R103" s="8"/>
      <c r="S103" s="8"/>
      <c r="T103" s="8"/>
      <c r="U103" s="8">
        <v>37280.699999999997</v>
      </c>
      <c r="V103" s="8"/>
      <c r="W103" s="47">
        <v>0</v>
      </c>
      <c r="Y103" s="79">
        <v>0</v>
      </c>
      <c r="AA103" s="8">
        <f t="shared" si="146"/>
        <v>2134.1999999999998</v>
      </c>
      <c r="AB103" s="8">
        <f t="shared" si="147"/>
        <v>5359</v>
      </c>
      <c r="AC103" s="8">
        <f t="shared" si="148"/>
        <v>0</v>
      </c>
      <c r="AE103" s="8">
        <f t="shared" si="149"/>
        <v>35146.5</v>
      </c>
      <c r="AF103" s="8">
        <f t="shared" si="150"/>
        <v>31921.699999999997</v>
      </c>
      <c r="AG103" s="8">
        <f t="shared" si="151"/>
        <v>37280.699999999997</v>
      </c>
      <c r="AI103" s="8">
        <f t="shared" si="152"/>
        <v>-2134.1999999999998</v>
      </c>
      <c r="AJ103" s="8">
        <f t="shared" si="153"/>
        <v>-5359</v>
      </c>
      <c r="AK103" s="8">
        <f t="shared" si="154"/>
        <v>0</v>
      </c>
    </row>
    <row r="104" spans="1:37" s="29" customFormat="1" x14ac:dyDescent="0.2">
      <c r="A104" s="2"/>
      <c r="B104" s="2"/>
      <c r="C104" s="2"/>
      <c r="D104" s="2"/>
      <c r="E104" s="2"/>
      <c r="F104" s="2"/>
      <c r="G104" s="27" t="s">
        <v>83</v>
      </c>
      <c r="H104" s="8"/>
      <c r="I104" s="8">
        <v>17000</v>
      </c>
      <c r="J104" s="8"/>
      <c r="K104" s="8">
        <v>19852</v>
      </c>
      <c r="L104" s="8"/>
      <c r="M104" s="8">
        <v>23213</v>
      </c>
      <c r="N104" s="8"/>
      <c r="O104" s="8">
        <v>0</v>
      </c>
      <c r="P104" s="8"/>
      <c r="Q104" s="8">
        <v>10450</v>
      </c>
      <c r="R104" s="8"/>
      <c r="S104" s="8"/>
      <c r="T104" s="8"/>
      <c r="U104" s="8">
        <v>10350</v>
      </c>
      <c r="V104" s="8"/>
      <c r="W104" s="46">
        <v>15000</v>
      </c>
      <c r="Y104" s="73">
        <v>12000</v>
      </c>
      <c r="AA104" s="8">
        <f t="shared" si="146"/>
        <v>14103</v>
      </c>
      <c r="AB104" s="8">
        <f t="shared" si="147"/>
        <v>23213</v>
      </c>
      <c r="AC104" s="8">
        <f t="shared" si="148"/>
        <v>0</v>
      </c>
      <c r="AE104" s="8">
        <f t="shared" si="149"/>
        <v>-3753</v>
      </c>
      <c r="AF104" s="8">
        <f t="shared" si="150"/>
        <v>-12863</v>
      </c>
      <c r="AG104" s="8">
        <f t="shared" si="151"/>
        <v>10350</v>
      </c>
      <c r="AI104" s="8">
        <f t="shared" si="152"/>
        <v>897</v>
      </c>
      <c r="AJ104" s="8">
        <f t="shared" si="153"/>
        <v>-8213</v>
      </c>
      <c r="AK104" s="8">
        <f t="shared" si="154"/>
        <v>15000</v>
      </c>
    </row>
    <row r="105" spans="1:37" s="29" customFormat="1" x14ac:dyDescent="0.2">
      <c r="A105" s="2"/>
      <c r="B105" s="2"/>
      <c r="C105" s="2"/>
      <c r="D105" s="2"/>
      <c r="E105" s="2"/>
      <c r="F105" s="2"/>
      <c r="G105" s="2" t="s">
        <v>84</v>
      </c>
      <c r="H105" s="8"/>
      <c r="I105" s="8"/>
      <c r="J105" s="8"/>
      <c r="K105" s="8"/>
      <c r="L105" s="8"/>
      <c r="M105" s="8"/>
      <c r="N105" s="8"/>
      <c r="O105" s="8"/>
      <c r="P105" s="8"/>
      <c r="Q105" s="8">
        <v>4985</v>
      </c>
      <c r="R105" s="8"/>
      <c r="S105" s="8"/>
      <c r="T105" s="8"/>
      <c r="U105" s="8">
        <v>5285</v>
      </c>
      <c r="V105" s="8"/>
      <c r="W105" s="49">
        <v>4935</v>
      </c>
      <c r="Y105" s="73">
        <v>6285</v>
      </c>
      <c r="AA105" s="8">
        <f t="shared" si="146"/>
        <v>4985</v>
      </c>
      <c r="AB105" s="8">
        <f t="shared" si="147"/>
        <v>4985</v>
      </c>
      <c r="AC105" s="8">
        <f t="shared" si="148"/>
        <v>4985</v>
      </c>
      <c r="AE105" s="8">
        <f t="shared" si="149"/>
        <v>300</v>
      </c>
      <c r="AF105" s="8">
        <f t="shared" si="150"/>
        <v>300</v>
      </c>
      <c r="AG105" s="8">
        <f t="shared" si="151"/>
        <v>300</v>
      </c>
      <c r="AI105" s="8">
        <f t="shared" si="152"/>
        <v>-50</v>
      </c>
      <c r="AJ105" s="8">
        <f t="shared" si="153"/>
        <v>-50</v>
      </c>
      <c r="AK105" s="8">
        <f t="shared" si="154"/>
        <v>-50</v>
      </c>
    </row>
    <row r="106" spans="1:37" s="29" customFormat="1" x14ac:dyDescent="0.2">
      <c r="A106" s="2"/>
      <c r="B106" s="2"/>
      <c r="C106" s="2"/>
      <c r="D106" s="2"/>
      <c r="E106" s="2"/>
      <c r="F106" s="2"/>
      <c r="G106" s="2" t="s">
        <v>85</v>
      </c>
      <c r="H106" s="8"/>
      <c r="I106" s="8">
        <f>2943+697</f>
        <v>3640</v>
      </c>
      <c r="J106" s="8"/>
      <c r="K106" s="8">
        <v>3829</v>
      </c>
      <c r="L106" s="8"/>
      <c r="M106" s="8">
        <v>4998</v>
      </c>
      <c r="N106" s="8"/>
      <c r="O106" s="8">
        <v>8560.18</v>
      </c>
      <c r="P106" s="8"/>
      <c r="Q106" s="8">
        <v>4579.5</v>
      </c>
      <c r="R106" s="8"/>
      <c r="S106" s="8"/>
      <c r="T106" s="8"/>
      <c r="U106" s="8">
        <v>9706</v>
      </c>
      <c r="V106" s="8"/>
      <c r="W106" s="46">
        <v>5000</v>
      </c>
      <c r="Y106" s="73">
        <v>6000</v>
      </c>
      <c r="AA106" s="8">
        <f t="shared" si="146"/>
        <v>5121.3360000000002</v>
      </c>
      <c r="AB106" s="8">
        <f t="shared" si="147"/>
        <v>8560.18</v>
      </c>
      <c r="AC106" s="8">
        <f t="shared" si="148"/>
        <v>3640</v>
      </c>
      <c r="AE106" s="8">
        <f t="shared" si="149"/>
        <v>4584.6639999999998</v>
      </c>
      <c r="AF106" s="8">
        <f t="shared" si="150"/>
        <v>1145.8199999999997</v>
      </c>
      <c r="AG106" s="8">
        <f t="shared" si="151"/>
        <v>6066</v>
      </c>
      <c r="AI106" s="8">
        <f t="shared" si="152"/>
        <v>-121.33600000000024</v>
      </c>
      <c r="AJ106" s="8">
        <f t="shared" si="153"/>
        <v>-3560.1800000000003</v>
      </c>
      <c r="AK106" s="8">
        <f t="shared" si="154"/>
        <v>1360</v>
      </c>
    </row>
    <row r="107" spans="1:37" s="29" customFormat="1" x14ac:dyDescent="0.2">
      <c r="A107" s="2"/>
      <c r="B107" s="2"/>
      <c r="C107" s="2"/>
      <c r="D107" s="2"/>
      <c r="E107" s="2"/>
      <c r="F107" s="2"/>
      <c r="G107" s="2" t="s">
        <v>86</v>
      </c>
      <c r="H107" s="8"/>
      <c r="I107" s="8">
        <v>31888</v>
      </c>
      <c r="J107" s="8"/>
      <c r="K107" s="8">
        <v>9990</v>
      </c>
      <c r="L107" s="8"/>
      <c r="M107" s="8">
        <v>45969</v>
      </c>
      <c r="N107" s="8"/>
      <c r="O107" s="8">
        <v>0</v>
      </c>
      <c r="P107" s="8"/>
      <c r="Q107" s="8">
        <v>32123.93</v>
      </c>
      <c r="R107" s="8"/>
      <c r="S107" s="8"/>
      <c r="T107" s="8"/>
      <c r="U107" s="9">
        <v>1675</v>
      </c>
      <c r="V107" s="8"/>
      <c r="W107" s="47">
        <v>35000</v>
      </c>
      <c r="Y107" s="73">
        <v>0</v>
      </c>
      <c r="AA107" s="8">
        <f t="shared" si="146"/>
        <v>23994.185999999998</v>
      </c>
      <c r="AB107" s="8">
        <f t="shared" si="147"/>
        <v>45969</v>
      </c>
      <c r="AC107" s="8">
        <f t="shared" si="148"/>
        <v>0</v>
      </c>
      <c r="AE107" s="8">
        <f t="shared" si="149"/>
        <v>-22319.185999999998</v>
      </c>
      <c r="AF107" s="8">
        <f t="shared" si="150"/>
        <v>-44294</v>
      </c>
      <c r="AG107" s="8">
        <f t="shared" si="151"/>
        <v>1675</v>
      </c>
      <c r="AI107" s="8">
        <f t="shared" si="152"/>
        <v>11005.814000000002</v>
      </c>
      <c r="AJ107" s="8">
        <f t="shared" si="153"/>
        <v>-10969</v>
      </c>
      <c r="AK107" s="8">
        <f t="shared" si="154"/>
        <v>35000</v>
      </c>
    </row>
    <row r="108" spans="1:37" s="29" customFormat="1" x14ac:dyDescent="0.2">
      <c r="A108" s="2"/>
      <c r="B108" s="2"/>
      <c r="C108" s="2"/>
      <c r="D108" s="2"/>
      <c r="E108" s="2"/>
      <c r="F108" s="2"/>
      <c r="G108" s="25" t="s">
        <v>291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46">
        <v>44204.87</v>
      </c>
      <c r="V108" s="8"/>
      <c r="W108" s="46">
        <f>W28*0.2</f>
        <v>72000</v>
      </c>
      <c r="Y108" s="68">
        <f>Y28*0.2</f>
        <v>66000</v>
      </c>
      <c r="AA108" s="8"/>
      <c r="AB108" s="8">
        <f t="shared" si="147"/>
        <v>0</v>
      </c>
      <c r="AC108" s="8">
        <f t="shared" si="148"/>
        <v>0</v>
      </c>
      <c r="AE108" s="8">
        <f t="shared" si="149"/>
        <v>44204.87</v>
      </c>
      <c r="AF108" s="8">
        <f t="shared" si="150"/>
        <v>44204.87</v>
      </c>
      <c r="AG108" s="8">
        <f t="shared" si="151"/>
        <v>44204.87</v>
      </c>
      <c r="AI108" s="8">
        <f t="shared" si="152"/>
        <v>72000</v>
      </c>
      <c r="AJ108" s="8">
        <f t="shared" si="153"/>
        <v>72000</v>
      </c>
      <c r="AK108" s="8">
        <f t="shared" si="154"/>
        <v>72000</v>
      </c>
    </row>
    <row r="109" spans="1:37" s="29" customFormat="1" x14ac:dyDescent="0.2">
      <c r="A109" s="2"/>
      <c r="B109" s="2"/>
      <c r="C109" s="2"/>
      <c r="D109" s="2"/>
      <c r="E109" s="2"/>
      <c r="F109" s="2"/>
      <c r="G109" s="25" t="s">
        <v>366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46">
        <v>16096.84</v>
      </c>
      <c r="V109" s="8"/>
      <c r="W109" s="46"/>
      <c r="Y109" s="68">
        <f>W7*0.03</f>
        <v>18900</v>
      </c>
      <c r="AA109" s="8"/>
      <c r="AB109" s="8"/>
      <c r="AC109" s="8"/>
      <c r="AE109" s="8"/>
      <c r="AF109" s="8"/>
      <c r="AG109" s="8"/>
      <c r="AI109" s="8"/>
      <c r="AJ109" s="8"/>
      <c r="AK109" s="8"/>
    </row>
    <row r="110" spans="1:37" s="29" customFormat="1" x14ac:dyDescent="0.2">
      <c r="A110" s="2"/>
      <c r="B110" s="2"/>
      <c r="C110" s="2"/>
      <c r="D110" s="2"/>
      <c r="E110" s="2"/>
      <c r="F110" s="2"/>
      <c r="G110" s="25" t="s">
        <v>367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46">
        <v>26828.07</v>
      </c>
      <c r="V110" s="8"/>
      <c r="W110" s="46"/>
      <c r="Y110" s="68">
        <f>Y7*0.05</f>
        <v>30250</v>
      </c>
      <c r="AA110" s="8"/>
      <c r="AB110" s="8"/>
      <c r="AC110" s="8"/>
      <c r="AE110" s="8"/>
      <c r="AF110" s="8"/>
      <c r="AG110" s="8"/>
      <c r="AI110" s="8"/>
      <c r="AJ110" s="8"/>
      <c r="AK110" s="8"/>
    </row>
    <row r="111" spans="1:37" s="29" customFormat="1" x14ac:dyDescent="0.2">
      <c r="A111" s="2"/>
      <c r="B111" s="2"/>
      <c r="C111" s="2"/>
      <c r="D111" s="2"/>
      <c r="E111" s="2"/>
      <c r="F111" s="2"/>
      <c r="G111" s="25" t="s">
        <v>368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46">
        <f>32909+10.64</f>
        <v>32919.64</v>
      </c>
      <c r="V111" s="8"/>
      <c r="W111" s="46"/>
      <c r="Y111" s="68">
        <f>(Y23+Y24)*0.05</f>
        <v>37750</v>
      </c>
      <c r="AA111" s="8"/>
      <c r="AB111" s="8"/>
      <c r="AC111" s="8"/>
      <c r="AE111" s="8"/>
      <c r="AF111" s="8"/>
      <c r="AG111" s="8"/>
      <c r="AI111" s="8"/>
      <c r="AJ111" s="8"/>
      <c r="AK111" s="8"/>
    </row>
    <row r="112" spans="1:37" s="29" customFormat="1" ht="10.8" thickBot="1" x14ac:dyDescent="0.25">
      <c r="A112" s="2"/>
      <c r="B112" s="2"/>
      <c r="C112" s="2"/>
      <c r="D112" s="2"/>
      <c r="E112" s="2"/>
      <c r="F112" s="2"/>
      <c r="G112" s="2" t="s">
        <v>87</v>
      </c>
      <c r="H112" s="8"/>
      <c r="I112" s="11"/>
      <c r="J112" s="8"/>
      <c r="K112" s="11"/>
      <c r="L112" s="8"/>
      <c r="M112" s="11"/>
      <c r="N112" s="8"/>
      <c r="O112" s="11"/>
      <c r="P112" s="11"/>
      <c r="Q112" s="11"/>
      <c r="R112" s="9"/>
      <c r="S112" s="9"/>
      <c r="T112" s="8"/>
      <c r="U112" s="11"/>
      <c r="V112" s="8"/>
      <c r="W112" s="11">
        <v>0</v>
      </c>
      <c r="Y112" s="11"/>
      <c r="AA112" s="11"/>
      <c r="AB112" s="11">
        <f t="shared" si="147"/>
        <v>0</v>
      </c>
      <c r="AC112" s="11">
        <f t="shared" si="148"/>
        <v>0</v>
      </c>
      <c r="AE112" s="11">
        <f t="shared" si="149"/>
        <v>0</v>
      </c>
      <c r="AF112" s="11">
        <f t="shared" si="150"/>
        <v>0</v>
      </c>
      <c r="AG112" s="11">
        <f t="shared" si="151"/>
        <v>0</v>
      </c>
      <c r="AI112" s="11">
        <f t="shared" si="152"/>
        <v>0</v>
      </c>
      <c r="AJ112" s="11">
        <f t="shared" si="153"/>
        <v>0</v>
      </c>
      <c r="AK112" s="11">
        <f t="shared" si="154"/>
        <v>0</v>
      </c>
    </row>
    <row r="113" spans="1:37" s="29" customFormat="1" x14ac:dyDescent="0.2">
      <c r="A113" s="2"/>
      <c r="B113" s="2"/>
      <c r="C113" s="2"/>
      <c r="D113" s="2"/>
      <c r="E113" s="2"/>
      <c r="F113" s="2" t="s">
        <v>88</v>
      </c>
      <c r="G113" s="2"/>
      <c r="H113" s="8"/>
      <c r="I113" s="8">
        <f>ROUND(SUM(I88:I112),5)</f>
        <v>359971</v>
      </c>
      <c r="J113" s="8"/>
      <c r="K113" s="8">
        <f>ROUND(SUM(K88:K112),5)</f>
        <v>333725</v>
      </c>
      <c r="L113" s="8"/>
      <c r="M113" s="8">
        <f>ROUND(SUM(M88:M112),5)</f>
        <v>277260</v>
      </c>
      <c r="N113" s="8"/>
      <c r="O113" s="8">
        <f>ROUND(SUM(O88:O112),5)</f>
        <v>628127.16</v>
      </c>
      <c r="P113" s="8"/>
      <c r="Q113" s="8">
        <f>ROUND(SUM(Q88:Q112),5)</f>
        <v>284637.23</v>
      </c>
      <c r="R113" s="8"/>
      <c r="S113" s="8"/>
      <c r="T113" s="8"/>
      <c r="U113" s="31">
        <f>ROUND(SUM(U88:U112),5)</f>
        <v>602245.29</v>
      </c>
      <c r="V113" s="8"/>
      <c r="W113" s="31">
        <f>ROUND(SUM(W88:W112),5)</f>
        <v>350235</v>
      </c>
      <c r="Y113" s="31">
        <f>ROUND(SUM(Y88:Y112),5)</f>
        <v>434435</v>
      </c>
      <c r="AA113" s="8">
        <f t="shared" ref="AA113:AC113" si="161">ROUND(SUM(AA88:AA112),5)</f>
        <v>381239.81900000002</v>
      </c>
      <c r="AB113" s="8">
        <f t="shared" si="161"/>
        <v>851179.23</v>
      </c>
      <c r="AC113" s="8">
        <f t="shared" si="161"/>
        <v>125378.49</v>
      </c>
      <c r="AE113" s="8">
        <f t="shared" ref="AE113" si="162">ROUND(SUM(AE88:AE112),5)</f>
        <v>145160.921</v>
      </c>
      <c r="AF113" s="8">
        <f t="shared" ref="AF113" si="163">ROUND(SUM(AF88:AF112),5)</f>
        <v>-324778.49</v>
      </c>
      <c r="AG113" s="8">
        <f t="shared" ref="AG113" si="164">ROUND(SUM(AG88:AG112),5)</f>
        <v>401022.25</v>
      </c>
      <c r="AI113" s="8">
        <f t="shared" ref="AI113:AK113" si="165">ROUND(SUM(AI88:AI112),5)</f>
        <v>-31004.819</v>
      </c>
      <c r="AJ113" s="8">
        <f t="shared" si="165"/>
        <v>-500944.23</v>
      </c>
      <c r="AK113" s="8">
        <f t="shared" si="165"/>
        <v>224856.51</v>
      </c>
    </row>
    <row r="114" spans="1:37" s="29" customFormat="1" x14ac:dyDescent="0.2">
      <c r="A114" s="2"/>
      <c r="B114" s="2"/>
      <c r="C114" s="2"/>
      <c r="D114" s="2"/>
      <c r="E114" s="2"/>
      <c r="F114" s="2" t="s">
        <v>89</v>
      </c>
      <c r="G114" s="2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Y114" s="8"/>
      <c r="AA114" s="8"/>
      <c r="AB114" s="8"/>
      <c r="AC114" s="8"/>
      <c r="AE114" s="8"/>
      <c r="AF114" s="8"/>
      <c r="AG114" s="8"/>
      <c r="AI114" s="8"/>
      <c r="AJ114" s="8"/>
      <c r="AK114" s="8"/>
    </row>
    <row r="115" spans="1:37" s="29" customFormat="1" x14ac:dyDescent="0.2">
      <c r="A115" s="2"/>
      <c r="B115" s="2"/>
      <c r="C115" s="2"/>
      <c r="D115" s="2"/>
      <c r="E115" s="2"/>
      <c r="F115" s="2"/>
      <c r="G115" s="2" t="s">
        <v>90</v>
      </c>
      <c r="H115" s="8"/>
      <c r="I115" s="8"/>
      <c r="J115" s="8"/>
      <c r="K115" s="8">
        <v>21187</v>
      </c>
      <c r="L115" s="8"/>
      <c r="M115" s="8">
        <v>6228</v>
      </c>
      <c r="N115" s="8"/>
      <c r="O115" s="8">
        <v>6689.77</v>
      </c>
      <c r="P115" s="8"/>
      <c r="Q115" s="8">
        <v>11080.74</v>
      </c>
      <c r="R115" s="8"/>
      <c r="S115" s="8"/>
      <c r="T115" s="8"/>
      <c r="U115" s="8">
        <v>9698.5499999999993</v>
      </c>
      <c r="V115" s="8"/>
      <c r="W115" s="47">
        <v>9000</v>
      </c>
      <c r="Y115" s="73">
        <v>9500</v>
      </c>
      <c r="AA115" s="8">
        <f t="shared" ref="AA115:AA124" si="166">AVERAGE(I115:Q115)</f>
        <v>11296.377500000001</v>
      </c>
      <c r="AB115" s="8">
        <f t="shared" ref="AB115:AB124" si="167">MAX(I115:Q115)</f>
        <v>21187</v>
      </c>
      <c r="AC115" s="8">
        <f t="shared" ref="AC115:AC124" si="168">MIN(I115:Q115)</f>
        <v>6228</v>
      </c>
      <c r="AE115" s="8">
        <f t="shared" ref="AE115:AE124" si="169">+U115-AA115</f>
        <v>-1597.8275000000012</v>
      </c>
      <c r="AF115" s="8">
        <f t="shared" ref="AF115:AF124" si="170">+U115-AB115</f>
        <v>-11488.45</v>
      </c>
      <c r="AG115" s="8">
        <f t="shared" ref="AG115:AG124" si="171">+U115-AC115</f>
        <v>3470.5499999999993</v>
      </c>
      <c r="AI115" s="8">
        <f t="shared" ref="AI115:AI124" si="172">+W115-AA115</f>
        <v>-2296.3775000000005</v>
      </c>
      <c r="AJ115" s="8">
        <f t="shared" ref="AJ115:AJ124" si="173">+W115-AB115</f>
        <v>-12187</v>
      </c>
      <c r="AK115" s="8">
        <f t="shared" ref="AK115:AK124" si="174">+W115-AC115</f>
        <v>2772</v>
      </c>
    </row>
    <row r="116" spans="1:37" s="29" customFormat="1" x14ac:dyDescent="0.2">
      <c r="A116" s="2"/>
      <c r="B116" s="2"/>
      <c r="C116" s="2"/>
      <c r="D116" s="2"/>
      <c r="E116" s="2"/>
      <c r="F116" s="2"/>
      <c r="G116" s="27" t="s">
        <v>303</v>
      </c>
      <c r="H116" s="8"/>
      <c r="I116" s="8">
        <v>52247</v>
      </c>
      <c r="J116" s="8"/>
      <c r="K116" s="8">
        <v>52247</v>
      </c>
      <c r="L116" s="8"/>
      <c r="M116" s="8">
        <v>52300</v>
      </c>
      <c r="N116" s="8"/>
      <c r="O116" s="8">
        <v>52246.57</v>
      </c>
      <c r="P116" s="8"/>
      <c r="Q116" s="8">
        <v>52246.559999999998</v>
      </c>
      <c r="R116" s="8"/>
      <c r="S116" s="8"/>
      <c r="T116" s="8"/>
      <c r="U116" s="8">
        <v>52246.58</v>
      </c>
      <c r="V116" s="8"/>
      <c r="W116" s="46">
        <v>52300</v>
      </c>
      <c r="Y116" s="73">
        <v>0</v>
      </c>
      <c r="AA116" s="8">
        <f t="shared" si="166"/>
        <v>52257.425999999999</v>
      </c>
      <c r="AB116" s="8">
        <f t="shared" si="167"/>
        <v>52300</v>
      </c>
      <c r="AC116" s="8">
        <f t="shared" si="168"/>
        <v>52246.559999999998</v>
      </c>
      <c r="AE116" s="8">
        <f t="shared" si="169"/>
        <v>-10.84599999999773</v>
      </c>
      <c r="AF116" s="8">
        <f t="shared" si="170"/>
        <v>-53.419999999998254</v>
      </c>
      <c r="AG116" s="8">
        <f t="shared" si="171"/>
        <v>2.0000000004074536E-2</v>
      </c>
      <c r="AI116" s="8">
        <f t="shared" si="172"/>
        <v>42.574000000000524</v>
      </c>
      <c r="AJ116" s="8">
        <f t="shared" si="173"/>
        <v>0</v>
      </c>
      <c r="AK116" s="8">
        <f t="shared" si="174"/>
        <v>53.440000000002328</v>
      </c>
    </row>
    <row r="117" spans="1:37" s="29" customFormat="1" x14ac:dyDescent="0.2">
      <c r="A117" s="2"/>
      <c r="B117" s="2"/>
      <c r="C117" s="2"/>
      <c r="D117" s="2"/>
      <c r="E117" s="2"/>
      <c r="F117" s="2"/>
      <c r="G117" s="2" t="s">
        <v>91</v>
      </c>
      <c r="H117" s="8"/>
      <c r="I117" s="8"/>
      <c r="J117" s="8"/>
      <c r="K117" s="8">
        <v>45190</v>
      </c>
      <c r="L117" s="8"/>
      <c r="M117" s="8">
        <v>41121</v>
      </c>
      <c r="N117" s="8"/>
      <c r="O117" s="8">
        <v>31792.52</v>
      </c>
      <c r="P117" s="8"/>
      <c r="Q117" s="8">
        <v>29483.8</v>
      </c>
      <c r="R117" s="8"/>
      <c r="S117" s="8"/>
      <c r="T117" s="8"/>
      <c r="U117" s="8">
        <v>29788.71</v>
      </c>
      <c r="V117" s="8"/>
      <c r="W117" s="47">
        <v>30000</v>
      </c>
      <c r="Y117" s="73">
        <v>32000</v>
      </c>
      <c r="AA117" s="8">
        <f t="shared" si="166"/>
        <v>36896.83</v>
      </c>
      <c r="AB117" s="8">
        <f t="shared" si="167"/>
        <v>45190</v>
      </c>
      <c r="AC117" s="8">
        <f t="shared" si="168"/>
        <v>29483.8</v>
      </c>
      <c r="AE117" s="8">
        <f t="shared" si="169"/>
        <v>-7108.1200000000026</v>
      </c>
      <c r="AF117" s="8">
        <f t="shared" si="170"/>
        <v>-15401.29</v>
      </c>
      <c r="AG117" s="8">
        <f t="shared" si="171"/>
        <v>304.90999999999985</v>
      </c>
      <c r="AI117" s="8">
        <f t="shared" si="172"/>
        <v>-6896.8300000000017</v>
      </c>
      <c r="AJ117" s="8">
        <f t="shared" si="173"/>
        <v>-15190</v>
      </c>
      <c r="AK117" s="8">
        <f t="shared" si="174"/>
        <v>516.20000000000073</v>
      </c>
    </row>
    <row r="118" spans="1:37" s="29" customFormat="1" x14ac:dyDescent="0.2">
      <c r="A118" s="2"/>
      <c r="B118" s="2"/>
      <c r="C118" s="2"/>
      <c r="D118" s="2"/>
      <c r="E118" s="2"/>
      <c r="F118" s="2"/>
      <c r="G118" s="27" t="s">
        <v>92</v>
      </c>
      <c r="H118" s="8"/>
      <c r="I118" s="8">
        <v>2271</v>
      </c>
      <c r="J118" s="8"/>
      <c r="K118" s="8">
        <v>11854</v>
      </c>
      <c r="L118" s="8"/>
      <c r="M118" s="8">
        <v>13655</v>
      </c>
      <c r="N118" s="8"/>
      <c r="O118" s="8">
        <v>7608.32</v>
      </c>
      <c r="P118" s="8"/>
      <c r="Q118" s="8">
        <v>17521.349999999999</v>
      </c>
      <c r="R118" s="8"/>
      <c r="S118" s="8"/>
      <c r="T118" s="8"/>
      <c r="U118" s="8">
        <v>21380.11</v>
      </c>
      <c r="V118" s="8"/>
      <c r="W118" s="46">
        <v>19500</v>
      </c>
      <c r="Y118" s="73">
        <v>27600</v>
      </c>
      <c r="AA118" s="8">
        <f t="shared" si="166"/>
        <v>10581.933999999999</v>
      </c>
      <c r="AB118" s="8">
        <f t="shared" si="167"/>
        <v>17521.349999999999</v>
      </c>
      <c r="AC118" s="8">
        <f t="shared" si="168"/>
        <v>2271</v>
      </c>
      <c r="AE118" s="8">
        <f t="shared" si="169"/>
        <v>10798.176000000001</v>
      </c>
      <c r="AF118" s="8">
        <f t="shared" si="170"/>
        <v>3858.760000000002</v>
      </c>
      <c r="AG118" s="8">
        <f t="shared" si="171"/>
        <v>19109.11</v>
      </c>
      <c r="AI118" s="8">
        <f t="shared" si="172"/>
        <v>8918.0660000000007</v>
      </c>
      <c r="AJ118" s="8">
        <f t="shared" si="173"/>
        <v>1978.6500000000015</v>
      </c>
      <c r="AK118" s="8">
        <f t="shared" si="174"/>
        <v>17229</v>
      </c>
    </row>
    <row r="119" spans="1:37" s="29" customFormat="1" x14ac:dyDescent="0.2">
      <c r="A119" s="2"/>
      <c r="B119" s="2"/>
      <c r="C119" s="2"/>
      <c r="D119" s="2"/>
      <c r="E119" s="2"/>
      <c r="F119" s="2"/>
      <c r="G119" s="2" t="s">
        <v>381</v>
      </c>
      <c r="H119" s="8"/>
      <c r="I119" s="8">
        <v>18170</v>
      </c>
      <c r="J119" s="8"/>
      <c r="K119" s="8">
        <v>8715</v>
      </c>
      <c r="L119" s="8"/>
      <c r="M119" s="8">
        <v>20250</v>
      </c>
      <c r="N119" s="8"/>
      <c r="O119" s="8">
        <v>4716.6000000000004</v>
      </c>
      <c r="P119" s="8"/>
      <c r="Q119" s="8">
        <v>22655.08</v>
      </c>
      <c r="R119" s="8"/>
      <c r="S119" s="8"/>
      <c r="T119" s="8"/>
      <c r="U119" s="8">
        <v>13847.07</v>
      </c>
      <c r="V119" s="8"/>
      <c r="W119" s="47">
        <v>5000</v>
      </c>
      <c r="Y119" s="73">
        <v>15000</v>
      </c>
      <c r="AA119" s="8">
        <f t="shared" si="166"/>
        <v>14901.335999999999</v>
      </c>
      <c r="AB119" s="8">
        <f t="shared" si="167"/>
        <v>22655.08</v>
      </c>
      <c r="AC119" s="8">
        <f t="shared" si="168"/>
        <v>4716.6000000000004</v>
      </c>
      <c r="AE119" s="8">
        <f t="shared" si="169"/>
        <v>-1054.2659999999996</v>
      </c>
      <c r="AF119" s="8">
        <f t="shared" si="170"/>
        <v>-8808.010000000002</v>
      </c>
      <c r="AG119" s="8">
        <f t="shared" si="171"/>
        <v>9130.4699999999993</v>
      </c>
      <c r="AI119" s="8">
        <f t="shared" si="172"/>
        <v>-9901.3359999999993</v>
      </c>
      <c r="AJ119" s="8">
        <f t="shared" si="173"/>
        <v>-17655.080000000002</v>
      </c>
      <c r="AK119" s="8">
        <f t="shared" si="174"/>
        <v>283.39999999999964</v>
      </c>
    </row>
    <row r="120" spans="1:37" s="29" customFormat="1" x14ac:dyDescent="0.2">
      <c r="A120" s="2"/>
      <c r="B120" s="2"/>
      <c r="C120" s="2"/>
      <c r="D120" s="2"/>
      <c r="E120" s="2"/>
      <c r="F120" s="2"/>
      <c r="G120" s="2" t="s">
        <v>94</v>
      </c>
      <c r="H120" s="8"/>
      <c r="I120" s="8">
        <v>10021</v>
      </c>
      <c r="J120" s="8"/>
      <c r="K120" s="8">
        <v>8605</v>
      </c>
      <c r="L120" s="8"/>
      <c r="M120" s="8">
        <v>17349</v>
      </c>
      <c r="N120" s="8"/>
      <c r="O120" s="8">
        <v>6249.04</v>
      </c>
      <c r="P120" s="8"/>
      <c r="Q120" s="8">
        <v>7871.26</v>
      </c>
      <c r="R120" s="8"/>
      <c r="S120" s="8"/>
      <c r="T120" s="8"/>
      <c r="U120" s="8">
        <v>7686.68</v>
      </c>
      <c r="V120" s="8"/>
      <c r="W120" s="47">
        <v>10000</v>
      </c>
      <c r="Y120" s="73">
        <v>8000</v>
      </c>
      <c r="AA120" s="8">
        <f t="shared" si="166"/>
        <v>10019.060000000001</v>
      </c>
      <c r="AB120" s="8">
        <f t="shared" si="167"/>
        <v>17349</v>
      </c>
      <c r="AC120" s="8">
        <f t="shared" si="168"/>
        <v>6249.04</v>
      </c>
      <c r="AE120" s="8">
        <f t="shared" si="169"/>
        <v>-2332.380000000001</v>
      </c>
      <c r="AF120" s="8">
        <f t="shared" si="170"/>
        <v>-9662.32</v>
      </c>
      <c r="AG120" s="8">
        <f t="shared" si="171"/>
        <v>1437.6400000000003</v>
      </c>
      <c r="AI120" s="8">
        <f t="shared" si="172"/>
        <v>-19.06000000000131</v>
      </c>
      <c r="AJ120" s="8">
        <f t="shared" si="173"/>
        <v>-7349</v>
      </c>
      <c r="AK120" s="8">
        <f t="shared" si="174"/>
        <v>3750.96</v>
      </c>
    </row>
    <row r="121" spans="1:37" s="29" customFormat="1" x14ac:dyDescent="0.2">
      <c r="A121" s="2"/>
      <c r="B121" s="2"/>
      <c r="C121" s="2"/>
      <c r="D121" s="2"/>
      <c r="E121" s="2"/>
      <c r="F121" s="2"/>
      <c r="G121" s="2" t="s">
        <v>282</v>
      </c>
      <c r="H121" s="8"/>
      <c r="I121" s="8">
        <v>2400</v>
      </c>
      <c r="J121" s="8"/>
      <c r="K121" s="8"/>
      <c r="L121" s="8"/>
      <c r="M121" s="8"/>
      <c r="N121" s="8"/>
      <c r="O121" s="8">
        <v>380</v>
      </c>
      <c r="P121" s="8"/>
      <c r="Q121" s="8">
        <v>0</v>
      </c>
      <c r="R121" s="8"/>
      <c r="S121" s="8"/>
      <c r="T121" s="8"/>
      <c r="U121" s="8">
        <v>0</v>
      </c>
      <c r="V121" s="8"/>
      <c r="W121" s="47">
        <v>2000</v>
      </c>
      <c r="Y121" s="73">
        <v>1000</v>
      </c>
      <c r="AA121" s="8">
        <f t="shared" si="166"/>
        <v>926.66666666666663</v>
      </c>
      <c r="AB121" s="8">
        <f t="shared" si="167"/>
        <v>2400</v>
      </c>
      <c r="AC121" s="8">
        <f t="shared" si="168"/>
        <v>0</v>
      </c>
      <c r="AE121" s="8">
        <f t="shared" si="169"/>
        <v>-926.66666666666663</v>
      </c>
      <c r="AF121" s="8">
        <f t="shared" si="170"/>
        <v>-2400</v>
      </c>
      <c r="AG121" s="8">
        <f t="shared" si="171"/>
        <v>0</v>
      </c>
      <c r="AI121" s="8">
        <f t="shared" si="172"/>
        <v>1073.3333333333335</v>
      </c>
      <c r="AJ121" s="8">
        <f t="shared" si="173"/>
        <v>-400</v>
      </c>
      <c r="AK121" s="8">
        <f t="shared" si="174"/>
        <v>2000</v>
      </c>
    </row>
    <row r="122" spans="1:37" s="29" customFormat="1" x14ac:dyDescent="0.2">
      <c r="A122" s="2"/>
      <c r="B122" s="2"/>
      <c r="C122" s="2"/>
      <c r="D122" s="2"/>
      <c r="E122" s="2"/>
      <c r="F122" s="2"/>
      <c r="G122" s="2" t="s">
        <v>382</v>
      </c>
      <c r="H122" s="8"/>
      <c r="I122" s="8">
        <v>21913</v>
      </c>
      <c r="J122" s="8"/>
      <c r="K122" s="8">
        <v>11631</v>
      </c>
      <c r="L122" s="8"/>
      <c r="M122" s="8">
        <v>10701</v>
      </c>
      <c r="N122" s="8"/>
      <c r="O122" s="8">
        <v>10686.42</v>
      </c>
      <c r="P122" s="8"/>
      <c r="Q122" s="8">
        <v>1196.74</v>
      </c>
      <c r="R122" s="8"/>
      <c r="S122" s="8"/>
      <c r="T122" s="8"/>
      <c r="U122" s="8">
        <v>4636.08</v>
      </c>
      <c r="V122" s="8"/>
      <c r="W122" s="47">
        <v>20500</v>
      </c>
      <c r="Y122" s="73">
        <v>11500</v>
      </c>
      <c r="AA122" s="8">
        <f t="shared" si="166"/>
        <v>11225.632</v>
      </c>
      <c r="AB122" s="8">
        <f t="shared" si="167"/>
        <v>21913</v>
      </c>
      <c r="AC122" s="8">
        <f t="shared" si="168"/>
        <v>1196.74</v>
      </c>
      <c r="AE122" s="8">
        <f t="shared" si="169"/>
        <v>-6589.5519999999997</v>
      </c>
      <c r="AF122" s="8">
        <f t="shared" si="170"/>
        <v>-17276.919999999998</v>
      </c>
      <c r="AG122" s="8">
        <f t="shared" si="171"/>
        <v>3439.34</v>
      </c>
      <c r="AI122" s="8">
        <f t="shared" si="172"/>
        <v>9274.3680000000004</v>
      </c>
      <c r="AJ122" s="8">
        <f t="shared" si="173"/>
        <v>-1413</v>
      </c>
      <c r="AK122" s="8">
        <f t="shared" si="174"/>
        <v>19303.259999999998</v>
      </c>
    </row>
    <row r="123" spans="1:37" s="29" customFormat="1" x14ac:dyDescent="0.2">
      <c r="A123" s="2"/>
      <c r="B123" s="2"/>
      <c r="C123" s="2"/>
      <c r="D123" s="2"/>
      <c r="E123" s="2"/>
      <c r="F123" s="2"/>
      <c r="G123" s="2" t="s">
        <v>95</v>
      </c>
      <c r="H123" s="8"/>
      <c r="I123" s="8"/>
      <c r="J123" s="8"/>
      <c r="K123" s="8">
        <v>6345</v>
      </c>
      <c r="L123" s="8"/>
      <c r="M123" s="8">
        <v>18291</v>
      </c>
      <c r="N123" s="8"/>
      <c r="O123" s="8">
        <v>0</v>
      </c>
      <c r="P123" s="8"/>
      <c r="Q123" s="8">
        <v>2024.19</v>
      </c>
      <c r="R123" s="8"/>
      <c r="S123" s="8"/>
      <c r="T123" s="8"/>
      <c r="U123" s="8">
        <v>339.56</v>
      </c>
      <c r="V123" s="8"/>
      <c r="W123" s="47">
        <v>8000</v>
      </c>
      <c r="Y123" s="73">
        <v>7000</v>
      </c>
      <c r="AA123" s="8">
        <f t="shared" si="166"/>
        <v>6665.0474999999997</v>
      </c>
      <c r="AB123" s="8">
        <f t="shared" si="167"/>
        <v>18291</v>
      </c>
      <c r="AC123" s="8">
        <f t="shared" si="168"/>
        <v>0</v>
      </c>
      <c r="AE123" s="8">
        <f t="shared" si="169"/>
        <v>-6325.4874999999993</v>
      </c>
      <c r="AF123" s="8">
        <f t="shared" si="170"/>
        <v>-17951.439999999999</v>
      </c>
      <c r="AG123" s="8">
        <f t="shared" si="171"/>
        <v>339.56</v>
      </c>
      <c r="AI123" s="8">
        <f t="shared" si="172"/>
        <v>1334.9525000000003</v>
      </c>
      <c r="AJ123" s="8">
        <f t="shared" si="173"/>
        <v>-10291</v>
      </c>
      <c r="AK123" s="8">
        <f t="shared" si="174"/>
        <v>8000</v>
      </c>
    </row>
    <row r="124" spans="1:37" s="29" customFormat="1" ht="10.8" thickBot="1" x14ac:dyDescent="0.25">
      <c r="A124" s="2"/>
      <c r="B124" s="2"/>
      <c r="C124" s="2"/>
      <c r="D124" s="2"/>
      <c r="E124" s="2"/>
      <c r="F124" s="2"/>
      <c r="G124" s="2" t="s">
        <v>283</v>
      </c>
      <c r="H124" s="8"/>
      <c r="I124" s="9"/>
      <c r="J124" s="8"/>
      <c r="K124" s="9"/>
      <c r="L124" s="8"/>
      <c r="M124" s="9">
        <v>85000</v>
      </c>
      <c r="N124" s="8"/>
      <c r="O124" s="9">
        <v>0</v>
      </c>
      <c r="P124" s="9"/>
      <c r="Q124" s="8">
        <v>25067</v>
      </c>
      <c r="R124" s="9"/>
      <c r="S124" s="9"/>
      <c r="T124" s="8"/>
      <c r="U124" s="8">
        <v>10378.299999999999</v>
      </c>
      <c r="V124" s="8"/>
      <c r="W124" s="47">
        <v>0</v>
      </c>
      <c r="Y124" s="85"/>
      <c r="Z124" s="8"/>
      <c r="AA124" s="9">
        <f t="shared" si="166"/>
        <v>36689</v>
      </c>
      <c r="AB124" s="9">
        <f t="shared" si="167"/>
        <v>85000</v>
      </c>
      <c r="AC124" s="9">
        <f t="shared" si="168"/>
        <v>0</v>
      </c>
      <c r="AE124" s="9">
        <f t="shared" si="169"/>
        <v>-26310.7</v>
      </c>
      <c r="AF124" s="9">
        <f t="shared" si="170"/>
        <v>-74621.7</v>
      </c>
      <c r="AG124" s="9">
        <f t="shared" si="171"/>
        <v>10378.299999999999</v>
      </c>
      <c r="AI124" s="9">
        <f t="shared" si="172"/>
        <v>-36689</v>
      </c>
      <c r="AJ124" s="9">
        <f t="shared" si="173"/>
        <v>-85000</v>
      </c>
      <c r="AK124" s="9">
        <f t="shared" si="174"/>
        <v>0</v>
      </c>
    </row>
    <row r="125" spans="1:37" s="29" customFormat="1" ht="10.8" thickBot="1" x14ac:dyDescent="0.25">
      <c r="A125" s="2"/>
      <c r="B125" s="2"/>
      <c r="C125" s="2"/>
      <c r="D125" s="2"/>
      <c r="E125" s="2"/>
      <c r="F125" s="2" t="s">
        <v>96</v>
      </c>
      <c r="G125" s="2"/>
      <c r="H125" s="8"/>
      <c r="I125" s="10">
        <f>ROUND(SUM(I114:I124),5)</f>
        <v>107022</v>
      </c>
      <c r="J125" s="8"/>
      <c r="K125" s="10">
        <f>ROUND(SUM(K114:K124),5)</f>
        <v>165774</v>
      </c>
      <c r="L125" s="8"/>
      <c r="M125" s="10">
        <f>ROUND(SUM(M114:M124),5)</f>
        <v>264895</v>
      </c>
      <c r="N125" s="8"/>
      <c r="O125" s="10">
        <f>ROUND(SUM(O114:O124),5)</f>
        <v>120369.24</v>
      </c>
      <c r="P125" s="10"/>
      <c r="Q125" s="10">
        <f>ROUND(SUM(Q114:Q124),5)</f>
        <v>169146.72</v>
      </c>
      <c r="R125" s="9"/>
      <c r="S125" s="9"/>
      <c r="T125" s="8"/>
      <c r="U125" s="37">
        <f>ROUND(SUM(U114:U124),5)</f>
        <v>150001.64000000001</v>
      </c>
      <c r="V125" s="8"/>
      <c r="W125" s="37">
        <f>ROUND(SUM(W114:W124),5)</f>
        <v>156300</v>
      </c>
      <c r="Y125" s="82">
        <f>ROUND(SUM(Y114:Y124),5)</f>
        <v>111600</v>
      </c>
      <c r="AA125" s="10">
        <f>ROUND(SUM(AA114:AA124),5)</f>
        <v>191459.30966999999</v>
      </c>
      <c r="AB125" s="10">
        <f>ROUND(SUM(AB114:AB124),5)</f>
        <v>303806.43</v>
      </c>
      <c r="AC125" s="10">
        <f>ROUND(SUM(AC114:AC124),5)</f>
        <v>102391.74</v>
      </c>
      <c r="AE125" s="10">
        <f>ROUND(SUM(AE114:AE124),5)</f>
        <v>-41457.669670000003</v>
      </c>
      <c r="AF125" s="10">
        <f>ROUND(SUM(AF114:AF124),5)</f>
        <v>-153804.79</v>
      </c>
      <c r="AG125" s="10">
        <f>ROUND(SUM(AG114:AG124),5)</f>
        <v>47609.9</v>
      </c>
      <c r="AI125" s="10">
        <f>ROUND(SUM(AI114:AI124),5)</f>
        <v>-35159.309670000002</v>
      </c>
      <c r="AJ125" s="10">
        <f>ROUND(SUM(AJ114:AJ124),5)</f>
        <v>-147506.43</v>
      </c>
      <c r="AK125" s="10">
        <f>ROUND(SUM(AK114:AK124),5)</f>
        <v>53908.26</v>
      </c>
    </row>
    <row r="126" spans="1:37" s="29" customFormat="1" x14ac:dyDescent="0.2">
      <c r="A126" s="2"/>
      <c r="B126" s="2"/>
      <c r="C126" s="2"/>
      <c r="D126" s="2"/>
      <c r="E126" s="24" t="s">
        <v>97</v>
      </c>
      <c r="F126" s="2"/>
      <c r="G126" s="2"/>
      <c r="H126" s="8"/>
      <c r="I126" s="8">
        <f>ROUND(I87+I113+I125,5)</f>
        <v>466993</v>
      </c>
      <c r="J126" s="8"/>
      <c r="K126" s="8">
        <f>ROUND(K87+K113+K125,5)</f>
        <v>499499</v>
      </c>
      <c r="L126" s="8"/>
      <c r="M126" s="8">
        <f>ROUND(M87+M113+M125,5)</f>
        <v>542155</v>
      </c>
      <c r="N126" s="8"/>
      <c r="O126" s="8">
        <f>ROUND(O87+O113+O125,5)</f>
        <v>748496.4</v>
      </c>
      <c r="P126" s="8"/>
      <c r="Q126" s="8">
        <f>ROUND(Q87+Q113+Q125,5)</f>
        <v>453783.95</v>
      </c>
      <c r="R126" s="8"/>
      <c r="S126" s="8"/>
      <c r="T126" s="8"/>
      <c r="U126" s="31">
        <f>ROUND(U87+U113+U125,5)</f>
        <v>752246.93</v>
      </c>
      <c r="V126" s="8"/>
      <c r="W126" s="31">
        <f>ROUND(W87+W113+W125,5)</f>
        <v>506535</v>
      </c>
      <c r="Y126" s="31">
        <f>ROUND(Y87+Y113+Y125,5)</f>
        <v>546035</v>
      </c>
      <c r="AA126" s="8">
        <f>ROUND(AA87+AA113+AA125,5)</f>
        <v>572699.12867000001</v>
      </c>
      <c r="AB126" s="8">
        <f>ROUND(AB87+AB113+AB125,5)</f>
        <v>1154985.6599999999</v>
      </c>
      <c r="AC126" s="8">
        <f>ROUND(AC87+AC113+AC125,5)</f>
        <v>227770.23</v>
      </c>
      <c r="AE126" s="8">
        <f>ROUND(AE87+AE113+AE125,5)</f>
        <v>103703.25133</v>
      </c>
      <c r="AF126" s="8">
        <f>ROUND(AF87+AF113+AF125,5)</f>
        <v>-478583.28</v>
      </c>
      <c r="AG126" s="8">
        <f>ROUND(AG87+AG113+AG125,5)</f>
        <v>448632.15</v>
      </c>
      <c r="AI126" s="8">
        <f>ROUND(AI87+AI113+AI125,5)</f>
        <v>-66164.128670000006</v>
      </c>
      <c r="AJ126" s="8">
        <f>ROUND(AJ87+AJ113+AJ125,5)</f>
        <v>-648450.66</v>
      </c>
      <c r="AK126" s="8">
        <f>ROUND(AK87+AK113+AK125,5)</f>
        <v>278764.77</v>
      </c>
    </row>
    <row r="127" spans="1:37" s="29" customFormat="1" x14ac:dyDescent="0.2">
      <c r="A127" s="2"/>
      <c r="B127" s="2"/>
      <c r="C127" s="2"/>
      <c r="D127" s="2"/>
      <c r="E127" s="2"/>
      <c r="F127" s="2"/>
      <c r="G127" s="2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Y127" s="8"/>
      <c r="AA127" s="8"/>
      <c r="AB127" s="8"/>
      <c r="AC127" s="8"/>
      <c r="AE127" s="8"/>
      <c r="AF127" s="8"/>
      <c r="AG127" s="8"/>
      <c r="AI127" s="8"/>
      <c r="AJ127" s="8"/>
      <c r="AK127" s="8"/>
    </row>
    <row r="128" spans="1:37" s="29" customFormat="1" x14ac:dyDescent="0.2">
      <c r="A128" s="2"/>
      <c r="B128" s="2"/>
      <c r="C128" s="2"/>
      <c r="D128" s="2"/>
      <c r="E128" s="24" t="s">
        <v>98</v>
      </c>
      <c r="F128" s="2"/>
      <c r="G128" s="2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Y128" s="8"/>
      <c r="AA128" s="8"/>
      <c r="AB128" s="8"/>
      <c r="AC128" s="8"/>
      <c r="AE128" s="8"/>
      <c r="AF128" s="8"/>
      <c r="AG128" s="8"/>
      <c r="AI128" s="8"/>
      <c r="AJ128" s="8"/>
      <c r="AK128" s="8"/>
    </row>
    <row r="129" spans="1:37" s="29" customFormat="1" x14ac:dyDescent="0.2">
      <c r="A129" s="2"/>
      <c r="B129" s="2"/>
      <c r="C129" s="2"/>
      <c r="D129" s="2"/>
      <c r="E129" s="2"/>
      <c r="F129" s="2" t="s">
        <v>99</v>
      </c>
      <c r="G129" s="2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Y129" s="8"/>
      <c r="AA129" s="8"/>
      <c r="AB129" s="8"/>
      <c r="AC129" s="8"/>
      <c r="AE129" s="8"/>
      <c r="AF129" s="8"/>
      <c r="AG129" s="8"/>
      <c r="AI129" s="8"/>
      <c r="AJ129" s="8"/>
      <c r="AK129" s="8"/>
    </row>
    <row r="130" spans="1:37" s="29" customFormat="1" x14ac:dyDescent="0.2">
      <c r="A130" s="2"/>
      <c r="B130" s="2"/>
      <c r="C130" s="2"/>
      <c r="D130" s="2"/>
      <c r="E130" s="2"/>
      <c r="F130" s="2"/>
      <c r="G130" s="2" t="s">
        <v>100</v>
      </c>
      <c r="H130" s="8"/>
      <c r="I130" s="8">
        <v>203816</v>
      </c>
      <c r="J130" s="8"/>
      <c r="K130" s="8">
        <v>211654</v>
      </c>
      <c r="L130" s="8"/>
      <c r="M130" s="8">
        <v>211155</v>
      </c>
      <c r="N130" s="8"/>
      <c r="O130" s="8">
        <v>245555.14</v>
      </c>
      <c r="P130" s="8"/>
      <c r="Q130" s="8">
        <v>256466.3</v>
      </c>
      <c r="R130" s="8"/>
      <c r="S130" s="8"/>
      <c r="T130" s="8"/>
      <c r="U130" s="8">
        <v>251807.71</v>
      </c>
      <c r="V130" s="8"/>
      <c r="W130" s="46">
        <v>280520</v>
      </c>
      <c r="Y130" s="73">
        <v>293038</v>
      </c>
      <c r="Z130" s="6"/>
      <c r="AA130" s="8">
        <f t="shared" ref="AA130:AA134" si="175">AVERAGE(I130:Q130)</f>
        <v>225729.288</v>
      </c>
      <c r="AB130" s="8">
        <f t="shared" ref="AB130:AB134" si="176">MAX(I130:Q130)</f>
        <v>256466.3</v>
      </c>
      <c r="AC130" s="8">
        <f t="shared" ref="AC130:AC134" si="177">MIN(I130:Q130)</f>
        <v>203816</v>
      </c>
      <c r="AE130" s="8">
        <f t="shared" ref="AE130:AE134" si="178">+U130-AA130</f>
        <v>26078.421999999991</v>
      </c>
      <c r="AF130" s="8">
        <f t="shared" ref="AF130:AF134" si="179">+U130-AB130</f>
        <v>-4658.5899999999965</v>
      </c>
      <c r="AG130" s="8">
        <f t="shared" ref="AG130:AG134" si="180">+U130-AC130</f>
        <v>47991.709999999992</v>
      </c>
      <c r="AI130" s="8">
        <f t="shared" ref="AI130:AI134" si="181">+W130-AA130</f>
        <v>54790.712</v>
      </c>
      <c r="AJ130" s="8">
        <f t="shared" ref="AJ130:AJ134" si="182">+W130-AB130</f>
        <v>24053.700000000012</v>
      </c>
      <c r="AK130" s="8">
        <f t="shared" ref="AK130:AK134" si="183">+W130-AC130</f>
        <v>76704</v>
      </c>
    </row>
    <row r="131" spans="1:37" s="29" customFormat="1" x14ac:dyDescent="0.2">
      <c r="A131" s="2"/>
      <c r="B131" s="2"/>
      <c r="C131" s="2"/>
      <c r="D131" s="2"/>
      <c r="E131" s="2"/>
      <c r="F131" s="2"/>
      <c r="G131" s="2" t="s">
        <v>101</v>
      </c>
      <c r="H131" s="8"/>
      <c r="I131" s="8">
        <v>19389</v>
      </c>
      <c r="J131" s="8"/>
      <c r="K131" s="8">
        <v>20306</v>
      </c>
      <c r="L131" s="8"/>
      <c r="M131" s="8">
        <v>19258</v>
      </c>
      <c r="N131" s="8"/>
      <c r="O131" s="8">
        <v>20676.189999999999</v>
      </c>
      <c r="P131" s="8"/>
      <c r="Q131" s="8">
        <v>20955.72</v>
      </c>
      <c r="R131" s="8"/>
      <c r="S131" s="8"/>
      <c r="T131" s="8"/>
      <c r="U131" s="8">
        <v>20745.27</v>
      </c>
      <c r="V131" s="8"/>
      <c r="W131" s="46">
        <v>21460</v>
      </c>
      <c r="Y131" s="73">
        <v>22416</v>
      </c>
      <c r="Z131" s="6"/>
      <c r="AA131" s="8">
        <f t="shared" si="175"/>
        <v>20116.982</v>
      </c>
      <c r="AB131" s="8">
        <f t="shared" si="176"/>
        <v>20955.72</v>
      </c>
      <c r="AC131" s="8">
        <f t="shared" si="177"/>
        <v>19258</v>
      </c>
      <c r="AE131" s="8">
        <f t="shared" si="178"/>
        <v>628.28800000000047</v>
      </c>
      <c r="AF131" s="8">
        <f t="shared" si="179"/>
        <v>-210.45000000000073</v>
      </c>
      <c r="AG131" s="8">
        <f t="shared" si="180"/>
        <v>1487.2700000000004</v>
      </c>
      <c r="AI131" s="8">
        <f t="shared" si="181"/>
        <v>1343.018</v>
      </c>
      <c r="AJ131" s="8">
        <f t="shared" si="182"/>
        <v>504.27999999999884</v>
      </c>
      <c r="AK131" s="8">
        <f t="shared" si="183"/>
        <v>2202</v>
      </c>
    </row>
    <row r="132" spans="1:37" s="29" customFormat="1" x14ac:dyDescent="0.2">
      <c r="A132" s="2"/>
      <c r="B132" s="2"/>
      <c r="C132" s="2"/>
      <c r="D132" s="2"/>
      <c r="E132" s="2"/>
      <c r="F132" s="2"/>
      <c r="G132" s="2" t="s">
        <v>102</v>
      </c>
      <c r="H132" s="8"/>
      <c r="I132" s="8">
        <v>42309</v>
      </c>
      <c r="J132" s="8"/>
      <c r="K132" s="8">
        <v>43705</v>
      </c>
      <c r="L132" s="8"/>
      <c r="M132" s="8">
        <v>54362</v>
      </c>
      <c r="N132" s="8"/>
      <c r="O132" s="8">
        <v>48066.96</v>
      </c>
      <c r="P132" s="8"/>
      <c r="Q132" s="8">
        <v>44081.58</v>
      </c>
      <c r="R132" s="8"/>
      <c r="S132" s="8"/>
      <c r="T132" s="8"/>
      <c r="U132" s="8">
        <v>46740.84</v>
      </c>
      <c r="V132" s="8"/>
      <c r="W132" s="46">
        <v>50850</v>
      </c>
      <c r="Y132" s="73">
        <v>40316</v>
      </c>
      <c r="Z132" s="6"/>
      <c r="AA132" s="8">
        <f t="shared" si="175"/>
        <v>46504.907999999996</v>
      </c>
      <c r="AB132" s="8">
        <f t="shared" si="176"/>
        <v>54362</v>
      </c>
      <c r="AC132" s="8">
        <f t="shared" si="177"/>
        <v>42309</v>
      </c>
      <c r="AE132" s="8">
        <f t="shared" si="178"/>
        <v>235.9320000000007</v>
      </c>
      <c r="AF132" s="8">
        <f t="shared" si="179"/>
        <v>-7621.1600000000035</v>
      </c>
      <c r="AG132" s="8">
        <f t="shared" si="180"/>
        <v>4431.8399999999965</v>
      </c>
      <c r="AI132" s="8">
        <f t="shared" si="181"/>
        <v>4345.0920000000042</v>
      </c>
      <c r="AJ132" s="8">
        <f t="shared" si="182"/>
        <v>-3512</v>
      </c>
      <c r="AK132" s="8">
        <f t="shared" si="183"/>
        <v>8541</v>
      </c>
    </row>
    <row r="133" spans="1:37" s="29" customFormat="1" x14ac:dyDescent="0.2">
      <c r="A133" s="2"/>
      <c r="B133" s="2"/>
      <c r="C133" s="2"/>
      <c r="D133" s="2"/>
      <c r="E133" s="2"/>
      <c r="F133" s="2"/>
      <c r="G133" s="2" t="s">
        <v>103</v>
      </c>
      <c r="H133" s="8"/>
      <c r="I133" s="8">
        <v>4704</v>
      </c>
      <c r="J133" s="8"/>
      <c r="K133" s="8">
        <v>7710</v>
      </c>
      <c r="L133" s="8"/>
      <c r="M133" s="8">
        <v>6482</v>
      </c>
      <c r="N133" s="8"/>
      <c r="O133" s="8">
        <v>5333.59</v>
      </c>
      <c r="P133" s="8"/>
      <c r="Q133" s="8">
        <v>2182.23</v>
      </c>
      <c r="R133" s="8"/>
      <c r="S133" s="8"/>
      <c r="T133" s="8"/>
      <c r="U133" s="8">
        <v>5292.4</v>
      </c>
      <c r="V133" s="8"/>
      <c r="W133" s="46">
        <v>7056</v>
      </c>
      <c r="Y133" s="73">
        <v>7285</v>
      </c>
      <c r="Z133" s="6"/>
      <c r="AA133" s="8">
        <f t="shared" si="175"/>
        <v>5282.3639999999996</v>
      </c>
      <c r="AB133" s="8">
        <f t="shared" si="176"/>
        <v>7710</v>
      </c>
      <c r="AC133" s="8">
        <f t="shared" si="177"/>
        <v>2182.23</v>
      </c>
      <c r="AE133" s="8">
        <f t="shared" si="178"/>
        <v>10.036000000000058</v>
      </c>
      <c r="AF133" s="8">
        <f t="shared" si="179"/>
        <v>-2417.6000000000004</v>
      </c>
      <c r="AG133" s="8">
        <f t="shared" si="180"/>
        <v>3110.1699999999996</v>
      </c>
      <c r="AI133" s="8">
        <f t="shared" si="181"/>
        <v>1773.6360000000004</v>
      </c>
      <c r="AJ133" s="8">
        <f t="shared" si="182"/>
        <v>-654</v>
      </c>
      <c r="AK133" s="8">
        <f t="shared" si="183"/>
        <v>4873.7700000000004</v>
      </c>
    </row>
    <row r="134" spans="1:37" s="29" customFormat="1" ht="10.8" thickBot="1" x14ac:dyDescent="0.25">
      <c r="A134" s="2"/>
      <c r="B134" s="2"/>
      <c r="C134" s="2"/>
      <c r="D134" s="2"/>
      <c r="E134" s="2"/>
      <c r="F134" s="2"/>
      <c r="G134" s="2" t="s">
        <v>312</v>
      </c>
      <c r="H134" s="8"/>
      <c r="I134" s="11"/>
      <c r="J134" s="8"/>
      <c r="K134" s="11"/>
      <c r="L134" s="8"/>
      <c r="M134" s="11"/>
      <c r="N134" s="8"/>
      <c r="O134" s="11"/>
      <c r="P134" s="11"/>
      <c r="Q134" s="11">
        <v>0</v>
      </c>
      <c r="R134" s="9"/>
      <c r="S134" s="9"/>
      <c r="T134" s="8"/>
      <c r="U134" s="11">
        <v>787.6</v>
      </c>
      <c r="V134" s="8"/>
      <c r="W134" s="42">
        <v>814</v>
      </c>
      <c r="Y134" s="74">
        <v>850</v>
      </c>
      <c r="Z134" s="6"/>
      <c r="AA134" s="11">
        <f t="shared" si="175"/>
        <v>0</v>
      </c>
      <c r="AB134" s="11">
        <f t="shared" si="176"/>
        <v>0</v>
      </c>
      <c r="AC134" s="11">
        <f t="shared" si="177"/>
        <v>0</v>
      </c>
      <c r="AE134" s="11">
        <f t="shared" si="178"/>
        <v>787.6</v>
      </c>
      <c r="AF134" s="11">
        <f t="shared" si="179"/>
        <v>787.6</v>
      </c>
      <c r="AG134" s="11">
        <f t="shared" si="180"/>
        <v>787.6</v>
      </c>
      <c r="AI134" s="11">
        <f t="shared" si="181"/>
        <v>814</v>
      </c>
      <c r="AJ134" s="11">
        <f t="shared" si="182"/>
        <v>814</v>
      </c>
      <c r="AK134" s="11">
        <f t="shared" si="183"/>
        <v>814</v>
      </c>
    </row>
    <row r="135" spans="1:37" s="29" customFormat="1" x14ac:dyDescent="0.2">
      <c r="A135" s="2"/>
      <c r="B135" s="2"/>
      <c r="C135" s="2"/>
      <c r="D135" s="2"/>
      <c r="E135" s="2"/>
      <c r="F135" s="2" t="s">
        <v>104</v>
      </c>
      <c r="G135" s="2"/>
      <c r="H135" s="8"/>
      <c r="I135" s="8">
        <f>ROUND(SUM(I129:I134),5)</f>
        <v>270218</v>
      </c>
      <c r="J135" s="8"/>
      <c r="K135" s="8">
        <f>ROUND(SUM(K129:K134),5)</f>
        <v>283375</v>
      </c>
      <c r="L135" s="8"/>
      <c r="M135" s="8">
        <f>ROUND(SUM(M129:M134),5)</f>
        <v>291257</v>
      </c>
      <c r="N135" s="8"/>
      <c r="O135" s="8">
        <f>ROUND(SUM(O129:O134),5)</f>
        <v>319631.88</v>
      </c>
      <c r="P135" s="8"/>
      <c r="Q135" s="8">
        <f>ROUND(SUM(Q129:Q134),5)</f>
        <v>323685.83</v>
      </c>
      <c r="R135" s="8"/>
      <c r="S135" s="8"/>
      <c r="T135" s="8"/>
      <c r="U135" s="30">
        <f>ROUND(SUM(U129:U134),5)</f>
        <v>325373.82</v>
      </c>
      <c r="V135" s="8"/>
      <c r="W135" s="30">
        <f>SUM(W130:W134)</f>
        <v>360700</v>
      </c>
      <c r="Y135" s="75">
        <f>ROUND(SUM(Y129:Y134),5)</f>
        <v>363905</v>
      </c>
      <c r="Z135" s="6"/>
      <c r="AA135" s="8">
        <f t="shared" ref="AA135:AC135" si="184">ROUND(SUM(AA129:AA134),5)</f>
        <v>297633.54200000002</v>
      </c>
      <c r="AB135" s="8">
        <f t="shared" si="184"/>
        <v>339494.02</v>
      </c>
      <c r="AC135" s="8">
        <f t="shared" si="184"/>
        <v>267565.23</v>
      </c>
      <c r="AE135" s="8">
        <f t="shared" ref="AE135" si="185">ROUND(SUM(AE129:AE134),5)</f>
        <v>27740.277999999998</v>
      </c>
      <c r="AF135" s="8">
        <f t="shared" ref="AF135" si="186">ROUND(SUM(AF129:AF134),5)</f>
        <v>-14120.2</v>
      </c>
      <c r="AG135" s="8">
        <f t="shared" ref="AG135" si="187">ROUND(SUM(AG129:AG134),5)</f>
        <v>57808.59</v>
      </c>
      <c r="AI135" s="8">
        <f t="shared" ref="AI135:AK135" si="188">ROUND(SUM(AI129:AI134),5)</f>
        <v>63066.457999999999</v>
      </c>
      <c r="AJ135" s="8">
        <f t="shared" si="188"/>
        <v>21205.98</v>
      </c>
      <c r="AK135" s="8">
        <f t="shared" si="188"/>
        <v>93134.77</v>
      </c>
    </row>
    <row r="136" spans="1:37" s="29" customFormat="1" x14ac:dyDescent="0.2">
      <c r="A136" s="2"/>
      <c r="B136" s="2"/>
      <c r="C136" s="2"/>
      <c r="D136" s="2"/>
      <c r="E136" s="2"/>
      <c r="F136" s="2" t="s">
        <v>105</v>
      </c>
      <c r="G136" s="2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Y136" s="8"/>
      <c r="Z136" s="6"/>
      <c r="AA136" s="8"/>
      <c r="AB136" s="8"/>
      <c r="AC136" s="8"/>
      <c r="AE136" s="8"/>
      <c r="AF136" s="8"/>
      <c r="AG136" s="8"/>
      <c r="AI136" s="8"/>
      <c r="AJ136" s="8"/>
      <c r="AK136" s="8"/>
    </row>
    <row r="137" spans="1:37" s="29" customFormat="1" x14ac:dyDescent="0.2">
      <c r="A137" s="2"/>
      <c r="B137" s="2"/>
      <c r="C137" s="2"/>
      <c r="D137" s="2"/>
      <c r="E137" s="2"/>
      <c r="F137" s="2"/>
      <c r="G137" s="2" t="s">
        <v>106</v>
      </c>
      <c r="H137" s="8"/>
      <c r="I137" s="8"/>
      <c r="J137" s="8"/>
      <c r="K137" s="8"/>
      <c r="L137" s="8"/>
      <c r="M137" s="8"/>
      <c r="N137" s="8"/>
      <c r="O137" s="8"/>
      <c r="P137" s="8"/>
      <c r="Q137" s="8">
        <v>11747.1</v>
      </c>
      <c r="R137" s="8"/>
      <c r="S137" s="8"/>
      <c r="T137" s="8"/>
      <c r="U137" s="47">
        <v>1195.3499999999999</v>
      </c>
      <c r="V137" s="8"/>
      <c r="W137" s="47">
        <v>3100</v>
      </c>
      <c r="Y137" s="88">
        <v>9600</v>
      </c>
      <c r="Z137" s="6"/>
      <c r="AA137" s="8">
        <f t="shared" ref="AA137:AA139" si="189">AVERAGE(I137:Q137)</f>
        <v>11747.1</v>
      </c>
      <c r="AB137" s="8">
        <f t="shared" ref="AB137:AB139" si="190">MAX(I137:Q137)</f>
        <v>11747.1</v>
      </c>
      <c r="AC137" s="8">
        <f t="shared" ref="AC137:AC139" si="191">MIN(I137:Q137)</f>
        <v>11747.1</v>
      </c>
      <c r="AE137" s="8">
        <f t="shared" ref="AE137:AE139" si="192">+U137-AA137</f>
        <v>-10551.75</v>
      </c>
      <c r="AF137" s="8">
        <f t="shared" ref="AF137:AF139" si="193">+U137-AB137</f>
        <v>-10551.75</v>
      </c>
      <c r="AG137" s="8">
        <f t="shared" ref="AG137:AG139" si="194">+U137-AC137</f>
        <v>-10551.75</v>
      </c>
      <c r="AI137" s="8">
        <f t="shared" ref="AI137:AI139" si="195">+W137-AA137</f>
        <v>-8647.1</v>
      </c>
      <c r="AJ137" s="8">
        <f t="shared" ref="AJ137:AJ139" si="196">+W137-AB137</f>
        <v>-8647.1</v>
      </c>
      <c r="AK137" s="8">
        <f t="shared" ref="AK137:AK139" si="197">+W137-AC137</f>
        <v>-8647.1</v>
      </c>
    </row>
    <row r="138" spans="1:37" s="32" customFormat="1" x14ac:dyDescent="0.2">
      <c r="A138" s="2"/>
      <c r="B138" s="2"/>
      <c r="C138" s="2"/>
      <c r="D138" s="2"/>
      <c r="E138" s="2"/>
      <c r="F138" s="2"/>
      <c r="G138" s="2" t="s">
        <v>107</v>
      </c>
      <c r="H138" s="9"/>
      <c r="I138" s="9" t="s">
        <v>281</v>
      </c>
      <c r="J138" s="9"/>
      <c r="K138" s="9"/>
      <c r="L138" s="9"/>
      <c r="M138" s="9" t="s">
        <v>281</v>
      </c>
      <c r="N138" s="9"/>
      <c r="O138" s="9" t="s">
        <v>281</v>
      </c>
      <c r="P138" s="9"/>
      <c r="Q138" s="8">
        <v>996.63</v>
      </c>
      <c r="R138" s="9"/>
      <c r="S138" s="9"/>
      <c r="T138" s="9"/>
      <c r="U138" s="48">
        <v>110.57</v>
      </c>
      <c r="V138" s="9"/>
      <c r="W138" s="48">
        <v>238</v>
      </c>
      <c r="Y138" s="81">
        <v>735</v>
      </c>
      <c r="Z138" s="43"/>
      <c r="AA138" s="9">
        <f t="shared" si="189"/>
        <v>996.63</v>
      </c>
      <c r="AB138" s="9">
        <f t="shared" si="190"/>
        <v>996.63</v>
      </c>
      <c r="AC138" s="9">
        <f t="shared" si="191"/>
        <v>996.63</v>
      </c>
      <c r="AD138" s="29"/>
      <c r="AE138" s="9">
        <f t="shared" si="192"/>
        <v>-886.06</v>
      </c>
      <c r="AF138" s="9">
        <f t="shared" si="193"/>
        <v>-886.06</v>
      </c>
      <c r="AG138" s="9">
        <f t="shared" si="194"/>
        <v>-886.06</v>
      </c>
      <c r="AH138" s="29"/>
      <c r="AI138" s="9">
        <f t="shared" si="195"/>
        <v>-758.63</v>
      </c>
      <c r="AJ138" s="9">
        <f t="shared" si="196"/>
        <v>-758.63</v>
      </c>
      <c r="AK138" s="9">
        <f t="shared" si="197"/>
        <v>-758.63</v>
      </c>
    </row>
    <row r="139" spans="1:37" s="29" customFormat="1" ht="10.8" thickBot="1" x14ac:dyDescent="0.25">
      <c r="A139" s="2"/>
      <c r="B139" s="2"/>
      <c r="C139" s="2"/>
      <c r="D139" s="2"/>
      <c r="E139" s="2"/>
      <c r="F139" s="2"/>
      <c r="G139" s="2" t="s">
        <v>312</v>
      </c>
      <c r="H139" s="8"/>
      <c r="I139" s="11"/>
      <c r="J139" s="8"/>
      <c r="K139" s="11"/>
      <c r="L139" s="8"/>
      <c r="M139" s="11"/>
      <c r="N139" s="8"/>
      <c r="O139" s="11"/>
      <c r="P139" s="11"/>
      <c r="Q139" s="11">
        <v>0</v>
      </c>
      <c r="R139" s="9"/>
      <c r="S139" s="9"/>
      <c r="T139" s="8"/>
      <c r="U139" s="42">
        <v>10</v>
      </c>
      <c r="V139" s="8"/>
      <c r="W139" s="42">
        <v>10</v>
      </c>
      <c r="Y139" s="74">
        <v>28</v>
      </c>
      <c r="Z139" s="6"/>
      <c r="AA139" s="11">
        <f t="shared" si="189"/>
        <v>0</v>
      </c>
      <c r="AB139" s="11">
        <f t="shared" si="190"/>
        <v>0</v>
      </c>
      <c r="AC139" s="11">
        <f t="shared" si="191"/>
        <v>0</v>
      </c>
      <c r="AE139" s="11">
        <f t="shared" si="192"/>
        <v>10</v>
      </c>
      <c r="AF139" s="11">
        <f t="shared" si="193"/>
        <v>10</v>
      </c>
      <c r="AG139" s="11">
        <f t="shared" si="194"/>
        <v>10</v>
      </c>
      <c r="AI139" s="11">
        <f t="shared" si="195"/>
        <v>10</v>
      </c>
      <c r="AJ139" s="11">
        <f t="shared" si="196"/>
        <v>10</v>
      </c>
      <c r="AK139" s="11">
        <f t="shared" si="197"/>
        <v>10</v>
      </c>
    </row>
    <row r="140" spans="1:37" s="29" customFormat="1" x14ac:dyDescent="0.2">
      <c r="A140" s="2"/>
      <c r="B140" s="2"/>
      <c r="C140" s="2"/>
      <c r="D140" s="2"/>
      <c r="E140" s="2"/>
      <c r="F140" s="2" t="s">
        <v>108</v>
      </c>
      <c r="G140" s="2"/>
      <c r="H140" s="8"/>
      <c r="I140" s="8">
        <f>ROUND(SUM(I136:I139),5)</f>
        <v>0</v>
      </c>
      <c r="J140" s="8"/>
      <c r="K140" s="8">
        <f>ROUND(SUM(K136:K139),5)</f>
        <v>0</v>
      </c>
      <c r="L140" s="8"/>
      <c r="M140" s="8">
        <f>ROUND(SUM(M136:M139),5)</f>
        <v>0</v>
      </c>
      <c r="N140" s="8"/>
      <c r="O140" s="8">
        <f>ROUND(SUM(O136:O139),5)</f>
        <v>0</v>
      </c>
      <c r="P140" s="8"/>
      <c r="Q140" s="8">
        <f>ROUND(SUM(Q136:Q139),5)</f>
        <v>12743.73</v>
      </c>
      <c r="R140" s="8"/>
      <c r="S140" s="8"/>
      <c r="T140" s="8"/>
      <c r="U140" s="30">
        <f>ROUND(SUM(U136:U139),5)</f>
        <v>1315.92</v>
      </c>
      <c r="V140" s="8"/>
      <c r="W140" s="30">
        <f>SUM(W137:W139)</f>
        <v>3348</v>
      </c>
      <c r="Y140" s="69">
        <f>ROUND(SUM(Y136:Y139),5)</f>
        <v>10363</v>
      </c>
      <c r="Z140" s="6"/>
      <c r="AA140" s="8">
        <f>ROUND(SUM(AA136:AA139),5)</f>
        <v>12743.73</v>
      </c>
      <c r="AB140" s="8">
        <f>ROUND(SUM(AB136:AB139),5)</f>
        <v>12743.73</v>
      </c>
      <c r="AC140" s="8">
        <f>ROUND(SUM(AC136:AC139),5)</f>
        <v>12743.73</v>
      </c>
      <c r="AE140" s="8">
        <f>ROUND(SUM(AE136:AE139),5)</f>
        <v>-11427.81</v>
      </c>
      <c r="AF140" s="8">
        <f>ROUND(SUM(AF136:AF139),5)</f>
        <v>-11427.81</v>
      </c>
      <c r="AG140" s="8">
        <f>ROUND(SUM(AG136:AG139),5)</f>
        <v>-11427.81</v>
      </c>
      <c r="AI140" s="8">
        <f>ROUND(SUM(AI136:AI139),5)</f>
        <v>-9395.73</v>
      </c>
      <c r="AJ140" s="8">
        <f>ROUND(SUM(AJ136:AJ139),5)</f>
        <v>-9395.73</v>
      </c>
      <c r="AK140" s="8">
        <f>ROUND(SUM(AK136:AK139),5)</f>
        <v>-9395.73</v>
      </c>
    </row>
    <row r="141" spans="1:37" s="29" customFormat="1" x14ac:dyDescent="0.2">
      <c r="A141" s="2"/>
      <c r="B141" s="2"/>
      <c r="C141" s="2"/>
      <c r="D141" s="2"/>
      <c r="E141" s="2"/>
      <c r="F141" s="2" t="s">
        <v>109</v>
      </c>
      <c r="G141" s="2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Y141" s="8"/>
      <c r="AA141" s="8"/>
      <c r="AB141" s="8"/>
      <c r="AC141" s="8"/>
      <c r="AE141" s="8"/>
      <c r="AF141" s="8"/>
      <c r="AG141" s="8"/>
      <c r="AI141" s="8"/>
      <c r="AJ141" s="8"/>
      <c r="AK141" s="8"/>
    </row>
    <row r="142" spans="1:37" s="29" customFormat="1" x14ac:dyDescent="0.2">
      <c r="A142" s="2"/>
      <c r="B142" s="2"/>
      <c r="C142" s="2"/>
      <c r="D142" s="2"/>
      <c r="E142" s="2"/>
      <c r="F142" s="2"/>
      <c r="G142" s="2" t="s">
        <v>110</v>
      </c>
      <c r="H142" s="8"/>
      <c r="I142" s="8">
        <f>6576+6455+54</f>
        <v>13085</v>
      </c>
      <c r="J142" s="8"/>
      <c r="K142" s="8">
        <f>9273+9659</f>
        <v>18932</v>
      </c>
      <c r="L142" s="8"/>
      <c r="M142" s="8">
        <f>10298+11258</f>
        <v>21556</v>
      </c>
      <c r="N142" s="8"/>
      <c r="O142" s="8">
        <f>10740.23+12246.53</f>
        <v>22986.760000000002</v>
      </c>
      <c r="P142" s="8"/>
      <c r="Q142" s="8">
        <v>16425</v>
      </c>
      <c r="R142" s="8"/>
      <c r="S142" s="8"/>
      <c r="T142" s="8"/>
      <c r="U142" s="8">
        <v>15343.91</v>
      </c>
      <c r="V142" s="8"/>
      <c r="W142" s="47">
        <v>16500</v>
      </c>
      <c r="Y142" s="73">
        <v>16500</v>
      </c>
      <c r="AA142" s="8">
        <f t="shared" ref="AA142:AA145" si="198">AVERAGE(I142:Q142)</f>
        <v>18596.952000000001</v>
      </c>
      <c r="AB142" s="8">
        <f t="shared" ref="AB142:AB145" si="199">MAX(I142:Q142)</f>
        <v>22986.760000000002</v>
      </c>
      <c r="AC142" s="8">
        <f t="shared" ref="AC142:AC145" si="200">MIN(I142:Q142)</f>
        <v>13085</v>
      </c>
      <c r="AE142" s="8">
        <f t="shared" ref="AE142:AE145" si="201">+U142-AA142</f>
        <v>-3253.0420000000013</v>
      </c>
      <c r="AF142" s="8">
        <f t="shared" ref="AF142:AF145" si="202">+U142-AB142</f>
        <v>-7642.8500000000022</v>
      </c>
      <c r="AG142" s="8">
        <f t="shared" ref="AG142:AG145" si="203">+U142-AC142</f>
        <v>2258.91</v>
      </c>
      <c r="AI142" s="8">
        <f t="shared" ref="AI142:AI145" si="204">+W142-AA142</f>
        <v>-2096.9520000000011</v>
      </c>
      <c r="AJ142" s="8">
        <f t="shared" ref="AJ142:AJ145" si="205">+W142-AB142</f>
        <v>-6486.760000000002</v>
      </c>
      <c r="AK142" s="8">
        <f t="shared" ref="AK142:AK145" si="206">+W142-AC142</f>
        <v>3415</v>
      </c>
    </row>
    <row r="143" spans="1:37" s="29" customFormat="1" x14ac:dyDescent="0.2">
      <c r="A143" s="2"/>
      <c r="B143" s="2"/>
      <c r="C143" s="2"/>
      <c r="D143" s="2"/>
      <c r="E143" s="2"/>
      <c r="F143" s="2"/>
      <c r="G143" s="2" t="s">
        <v>111</v>
      </c>
      <c r="H143" s="8"/>
      <c r="I143" s="8"/>
      <c r="J143" s="8"/>
      <c r="K143" s="8"/>
      <c r="L143" s="8"/>
      <c r="M143" s="8"/>
      <c r="N143" s="8"/>
      <c r="O143" s="8"/>
      <c r="P143" s="8"/>
      <c r="Q143" s="8">
        <v>2957.73</v>
      </c>
      <c r="R143" s="8"/>
      <c r="S143" s="8"/>
      <c r="T143" s="8"/>
      <c r="U143" s="8">
        <v>2200</v>
      </c>
      <c r="V143" s="8"/>
      <c r="W143" s="47">
        <v>2600</v>
      </c>
      <c r="Y143" s="73">
        <v>2600</v>
      </c>
      <c r="AA143" s="8">
        <f t="shared" si="198"/>
        <v>2957.73</v>
      </c>
      <c r="AB143" s="8">
        <f t="shared" si="199"/>
        <v>2957.73</v>
      </c>
      <c r="AC143" s="8">
        <f t="shared" si="200"/>
        <v>2957.73</v>
      </c>
      <c r="AE143" s="8">
        <f t="shared" si="201"/>
        <v>-757.73</v>
      </c>
      <c r="AF143" s="8">
        <f t="shared" si="202"/>
        <v>-757.73</v>
      </c>
      <c r="AG143" s="8">
        <f t="shared" si="203"/>
        <v>-757.73</v>
      </c>
      <c r="AI143" s="8">
        <f t="shared" si="204"/>
        <v>-357.73</v>
      </c>
      <c r="AJ143" s="8">
        <f t="shared" si="205"/>
        <v>-357.73</v>
      </c>
      <c r="AK143" s="8">
        <f t="shared" si="206"/>
        <v>-357.73</v>
      </c>
    </row>
    <row r="144" spans="1:37" s="29" customFormat="1" x14ac:dyDescent="0.2">
      <c r="A144" s="2"/>
      <c r="B144" s="2"/>
      <c r="C144" s="2"/>
      <c r="D144" s="2"/>
      <c r="E144" s="2"/>
      <c r="F144" s="2"/>
      <c r="G144" s="2" t="s">
        <v>112</v>
      </c>
      <c r="H144" s="8"/>
      <c r="I144" s="8"/>
      <c r="J144" s="8"/>
      <c r="K144" s="8"/>
      <c r="L144" s="8"/>
      <c r="M144" s="8"/>
      <c r="N144" s="8"/>
      <c r="O144" s="8"/>
      <c r="P144" s="8"/>
      <c r="Q144" s="8">
        <v>200</v>
      </c>
      <c r="R144" s="8"/>
      <c r="S144" s="8"/>
      <c r="T144" s="8"/>
      <c r="U144" s="8">
        <v>205.5</v>
      </c>
      <c r="V144" s="8"/>
      <c r="W144" s="47">
        <v>500</v>
      </c>
      <c r="Y144" s="73">
        <v>500</v>
      </c>
      <c r="AA144" s="8">
        <f t="shared" si="198"/>
        <v>200</v>
      </c>
      <c r="AB144" s="8">
        <f t="shared" si="199"/>
        <v>200</v>
      </c>
      <c r="AC144" s="8">
        <f t="shared" si="200"/>
        <v>200</v>
      </c>
      <c r="AE144" s="8">
        <f t="shared" si="201"/>
        <v>5.5</v>
      </c>
      <c r="AF144" s="8">
        <f t="shared" si="202"/>
        <v>5.5</v>
      </c>
      <c r="AG144" s="8">
        <f t="shared" si="203"/>
        <v>5.5</v>
      </c>
      <c r="AI144" s="8">
        <f t="shared" si="204"/>
        <v>300</v>
      </c>
      <c r="AJ144" s="8">
        <f t="shared" si="205"/>
        <v>300</v>
      </c>
      <c r="AK144" s="8">
        <f t="shared" si="206"/>
        <v>300</v>
      </c>
    </row>
    <row r="145" spans="1:37" s="29" customFormat="1" ht="10.8" thickBot="1" x14ac:dyDescent="0.25">
      <c r="A145" s="2"/>
      <c r="B145" s="2"/>
      <c r="C145" s="2"/>
      <c r="D145" s="2"/>
      <c r="E145" s="2"/>
      <c r="F145" s="2"/>
      <c r="G145" s="2" t="s">
        <v>113</v>
      </c>
      <c r="H145" s="8"/>
      <c r="I145" s="11">
        <v>9104</v>
      </c>
      <c r="J145" s="8"/>
      <c r="K145" s="11">
        <v>8898</v>
      </c>
      <c r="L145" s="8"/>
      <c r="M145" s="11">
        <v>9700</v>
      </c>
      <c r="N145" s="8"/>
      <c r="O145" s="11">
        <v>8000.31</v>
      </c>
      <c r="P145" s="11"/>
      <c r="Q145" s="11">
        <v>3486.63</v>
      </c>
      <c r="R145" s="9"/>
      <c r="S145" s="9"/>
      <c r="T145" s="8"/>
      <c r="U145" s="11">
        <v>4161.66</v>
      </c>
      <c r="V145" s="8"/>
      <c r="W145" s="39">
        <v>6000</v>
      </c>
      <c r="Y145" s="74">
        <v>6000</v>
      </c>
      <c r="AA145" s="11">
        <f t="shared" si="198"/>
        <v>7837.7879999999986</v>
      </c>
      <c r="AB145" s="11">
        <f t="shared" si="199"/>
        <v>9700</v>
      </c>
      <c r="AC145" s="11">
        <f t="shared" si="200"/>
        <v>3486.63</v>
      </c>
      <c r="AE145" s="11">
        <f t="shared" si="201"/>
        <v>-3676.1279999999988</v>
      </c>
      <c r="AF145" s="11">
        <f t="shared" si="202"/>
        <v>-5538.34</v>
      </c>
      <c r="AG145" s="11">
        <f t="shared" si="203"/>
        <v>675.02999999999975</v>
      </c>
      <c r="AI145" s="11">
        <f t="shared" si="204"/>
        <v>-1837.7879999999986</v>
      </c>
      <c r="AJ145" s="11">
        <f t="shared" si="205"/>
        <v>-3700</v>
      </c>
      <c r="AK145" s="11">
        <f t="shared" si="206"/>
        <v>2513.37</v>
      </c>
    </row>
    <row r="146" spans="1:37" s="29" customFormat="1" x14ac:dyDescent="0.2">
      <c r="A146" s="2"/>
      <c r="B146" s="2"/>
      <c r="C146" s="2"/>
      <c r="D146" s="2"/>
      <c r="E146" s="2"/>
      <c r="F146" s="2" t="s">
        <v>114</v>
      </c>
      <c r="G146" s="2"/>
      <c r="H146" s="8"/>
      <c r="I146" s="8">
        <f>ROUND(SUM(I141:I145),5)</f>
        <v>22189</v>
      </c>
      <c r="J146" s="8"/>
      <c r="K146" s="8">
        <f>ROUND(SUM(K141:K145),5)</f>
        <v>27830</v>
      </c>
      <c r="L146" s="8"/>
      <c r="M146" s="8">
        <f>ROUND(SUM(M141:M145),5)</f>
        <v>31256</v>
      </c>
      <c r="N146" s="8"/>
      <c r="O146" s="8">
        <f>ROUND(SUM(O141:O145),5)</f>
        <v>30987.07</v>
      </c>
      <c r="P146" s="8"/>
      <c r="Q146" s="8">
        <f>ROUND(SUM(Q141:Q145),5)</f>
        <v>23069.360000000001</v>
      </c>
      <c r="R146" s="8"/>
      <c r="S146" s="8"/>
      <c r="T146" s="8"/>
      <c r="U146" s="30">
        <f>ROUND(SUM(U141:U145),5)</f>
        <v>21911.07</v>
      </c>
      <c r="V146" s="8"/>
      <c r="W146" s="30">
        <f>SUM(W142:W145)</f>
        <v>25600</v>
      </c>
      <c r="Y146" s="75">
        <f>ROUND(SUM(Y141:Y145),5)</f>
        <v>25600</v>
      </c>
      <c r="AA146" s="8">
        <f t="shared" ref="AA146:AC146" si="207">ROUND(SUM(AA141:AA145),5)</f>
        <v>29592.47</v>
      </c>
      <c r="AB146" s="8">
        <f t="shared" si="207"/>
        <v>35844.49</v>
      </c>
      <c r="AC146" s="8">
        <f t="shared" si="207"/>
        <v>19729.36</v>
      </c>
      <c r="AE146" s="8">
        <f t="shared" ref="AE146" si="208">ROUND(SUM(AE141:AE145),5)</f>
        <v>-7681.4</v>
      </c>
      <c r="AF146" s="8">
        <f t="shared" ref="AF146" si="209">ROUND(SUM(AF141:AF145),5)</f>
        <v>-13933.42</v>
      </c>
      <c r="AG146" s="8">
        <f t="shared" ref="AG146" si="210">ROUND(SUM(AG141:AG145),5)</f>
        <v>2181.71</v>
      </c>
      <c r="AI146" s="8">
        <f t="shared" ref="AI146:AK146" si="211">ROUND(SUM(AI141:AI145),5)</f>
        <v>-3992.47</v>
      </c>
      <c r="AJ146" s="8">
        <f t="shared" si="211"/>
        <v>-10244.49</v>
      </c>
      <c r="AK146" s="8">
        <f t="shared" si="211"/>
        <v>5870.64</v>
      </c>
    </row>
    <row r="147" spans="1:37" s="29" customFormat="1" x14ac:dyDescent="0.2">
      <c r="A147" s="2"/>
      <c r="B147" s="2"/>
      <c r="C147" s="2"/>
      <c r="D147" s="2"/>
      <c r="E147" s="2"/>
      <c r="F147" s="2" t="s">
        <v>115</v>
      </c>
      <c r="G147" s="2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Y147" s="8"/>
      <c r="AA147" s="8"/>
      <c r="AB147" s="8"/>
      <c r="AC147" s="8"/>
      <c r="AE147" s="8"/>
      <c r="AF147" s="8"/>
      <c r="AG147" s="8"/>
      <c r="AI147" s="8"/>
      <c r="AJ147" s="8"/>
      <c r="AK147" s="8"/>
    </row>
    <row r="148" spans="1:37" s="29" customFormat="1" ht="10.8" thickBot="1" x14ac:dyDescent="0.25">
      <c r="A148" s="2"/>
      <c r="B148" s="2"/>
      <c r="C148" s="2"/>
      <c r="D148" s="2"/>
      <c r="E148" s="2"/>
      <c r="F148" s="2"/>
      <c r="G148" s="2" t="s">
        <v>116</v>
      </c>
      <c r="H148" s="8"/>
      <c r="I148" s="11"/>
      <c r="J148" s="8"/>
      <c r="K148" s="11">
        <v>315</v>
      </c>
      <c r="L148" s="8"/>
      <c r="M148" s="11">
        <v>290</v>
      </c>
      <c r="N148" s="8"/>
      <c r="O148" s="11">
        <v>148.4</v>
      </c>
      <c r="P148" s="11"/>
      <c r="Q148" s="11">
        <v>819.44</v>
      </c>
      <c r="R148" s="9"/>
      <c r="S148" s="9"/>
      <c r="T148" s="8"/>
      <c r="U148" s="39">
        <v>959.26</v>
      </c>
      <c r="V148" s="8"/>
      <c r="W148" s="39">
        <v>400</v>
      </c>
      <c r="Y148" s="74">
        <v>900</v>
      </c>
      <c r="AA148" s="11">
        <f>AVERAGE(H148:O148)</f>
        <v>251.13333333333333</v>
      </c>
      <c r="AB148" s="11">
        <f>MAX(H148:O148)</f>
        <v>315</v>
      </c>
      <c r="AC148" s="11">
        <f>MIN(H148:O148)</f>
        <v>148.4</v>
      </c>
      <c r="AE148" s="11">
        <f>+U148-AA148</f>
        <v>708.12666666666667</v>
      </c>
      <c r="AF148" s="11">
        <f>+U148-AB148</f>
        <v>644.26</v>
      </c>
      <c r="AG148" s="11">
        <f>+U148-AC148</f>
        <v>810.86</v>
      </c>
      <c r="AI148" s="11">
        <f>+W148-AA148</f>
        <v>148.86666666666667</v>
      </c>
      <c r="AJ148" s="11">
        <f>+W148-AB148</f>
        <v>85</v>
      </c>
      <c r="AK148" s="11">
        <f>+W148-AC148</f>
        <v>251.6</v>
      </c>
    </row>
    <row r="149" spans="1:37" s="29" customFormat="1" x14ac:dyDescent="0.2">
      <c r="A149" s="2"/>
      <c r="B149" s="2"/>
      <c r="C149" s="2"/>
      <c r="D149" s="2"/>
      <c r="E149" s="2"/>
      <c r="F149" s="2" t="s">
        <v>117</v>
      </c>
      <c r="G149" s="2"/>
      <c r="H149" s="8"/>
      <c r="I149" s="8">
        <f>ROUND(SUM(I147:I148),5)</f>
        <v>0</v>
      </c>
      <c r="J149" s="8"/>
      <c r="K149" s="8">
        <f>ROUND(SUM(K147:K148),5)</f>
        <v>315</v>
      </c>
      <c r="L149" s="8"/>
      <c r="M149" s="8">
        <f>ROUND(SUM(M147:M148),5)</f>
        <v>290</v>
      </c>
      <c r="N149" s="8"/>
      <c r="O149" s="8">
        <f>ROUND(SUM(O147:O148),5)</f>
        <v>148.4</v>
      </c>
      <c r="P149" s="8"/>
      <c r="Q149" s="8">
        <f>ROUND(SUM(Q147:Q148),5)</f>
        <v>819.44</v>
      </c>
      <c r="R149" s="8"/>
      <c r="S149" s="8"/>
      <c r="T149" s="8"/>
      <c r="U149" s="30">
        <f>ROUND(SUM(U147:U148),5)</f>
        <v>959.26</v>
      </c>
      <c r="V149" s="8"/>
      <c r="W149" s="30">
        <f>SUM(W148)</f>
        <v>400</v>
      </c>
      <c r="Y149" s="75">
        <f>ROUND(SUM(Y147:Y148),5)</f>
        <v>900</v>
      </c>
      <c r="AA149" s="8">
        <f t="shared" ref="AA149:AC149" si="212">ROUND(SUM(AA147:AA148),5)</f>
        <v>251.13333</v>
      </c>
      <c r="AB149" s="8">
        <f t="shared" si="212"/>
        <v>315</v>
      </c>
      <c r="AC149" s="8">
        <f t="shared" si="212"/>
        <v>148.4</v>
      </c>
      <c r="AE149" s="8">
        <f t="shared" ref="AE149" si="213">ROUND(SUM(AE147:AE148),5)</f>
        <v>708.12666999999999</v>
      </c>
      <c r="AF149" s="8">
        <f t="shared" ref="AF149" si="214">ROUND(SUM(AF147:AF148),5)</f>
        <v>644.26</v>
      </c>
      <c r="AG149" s="8">
        <f t="shared" ref="AG149" si="215">ROUND(SUM(AG147:AG148),5)</f>
        <v>810.86</v>
      </c>
      <c r="AI149" s="8">
        <f t="shared" ref="AI149:AK149" si="216">ROUND(SUM(AI147:AI148),5)</f>
        <v>148.86667</v>
      </c>
      <c r="AJ149" s="8">
        <f t="shared" si="216"/>
        <v>85</v>
      </c>
      <c r="AK149" s="8">
        <f t="shared" si="216"/>
        <v>251.6</v>
      </c>
    </row>
    <row r="150" spans="1:37" s="29" customFormat="1" x14ac:dyDescent="0.2">
      <c r="A150" s="2"/>
      <c r="B150" s="2"/>
      <c r="C150" s="2"/>
      <c r="D150" s="2"/>
      <c r="E150" s="2"/>
      <c r="F150" s="2" t="s">
        <v>118</v>
      </c>
      <c r="G150" s="2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Y150" s="8"/>
      <c r="AA150" s="8"/>
      <c r="AB150" s="8"/>
      <c r="AC150" s="8"/>
      <c r="AE150" s="8"/>
      <c r="AF150" s="8"/>
      <c r="AG150" s="8"/>
      <c r="AI150" s="8"/>
      <c r="AJ150" s="8"/>
      <c r="AK150" s="8"/>
    </row>
    <row r="151" spans="1:37" s="29" customFormat="1" x14ac:dyDescent="0.2">
      <c r="A151" s="2"/>
      <c r="B151" s="2"/>
      <c r="C151" s="2"/>
      <c r="D151" s="2"/>
      <c r="E151" s="2"/>
      <c r="F151" s="2"/>
      <c r="G151" s="2" t="s">
        <v>119</v>
      </c>
      <c r="H151" s="8"/>
      <c r="I151" s="8">
        <v>4562</v>
      </c>
      <c r="J151" s="8"/>
      <c r="K151" s="8">
        <v>6850</v>
      </c>
      <c r="L151" s="8"/>
      <c r="M151" s="8">
        <v>10745</v>
      </c>
      <c r="N151" s="8"/>
      <c r="O151" s="8">
        <v>11411.43</v>
      </c>
      <c r="P151" s="8"/>
      <c r="Q151" s="8">
        <v>5508.94</v>
      </c>
      <c r="R151" s="8"/>
      <c r="S151" s="8"/>
      <c r="T151" s="8"/>
      <c r="U151" s="8">
        <v>5217.75</v>
      </c>
      <c r="V151" s="8"/>
      <c r="W151" s="47">
        <v>6000</v>
      </c>
      <c r="Y151" s="73">
        <v>7500</v>
      </c>
      <c r="AA151" s="8">
        <f t="shared" ref="AA151:AA158" si="217">AVERAGE(I151:Q151)</f>
        <v>7815.4740000000002</v>
      </c>
      <c r="AB151" s="8">
        <f t="shared" ref="AB151:AB158" si="218">MAX(I151:Q151)</f>
        <v>11411.43</v>
      </c>
      <c r="AC151" s="8">
        <f t="shared" ref="AC151:AC158" si="219">MIN(I151:Q151)</f>
        <v>4562</v>
      </c>
      <c r="AE151" s="8">
        <f t="shared" ref="AE151:AE158" si="220">+U151-AA151</f>
        <v>-2597.7240000000002</v>
      </c>
      <c r="AF151" s="8">
        <f t="shared" ref="AF151:AF158" si="221">+U151-AB151</f>
        <v>-6193.68</v>
      </c>
      <c r="AG151" s="8">
        <f t="shared" ref="AG151:AG158" si="222">+U151-AC151</f>
        <v>655.75</v>
      </c>
      <c r="AI151" s="8">
        <f t="shared" ref="AI151:AI158" si="223">+W151-AA151</f>
        <v>-1815.4740000000002</v>
      </c>
      <c r="AJ151" s="8">
        <f t="shared" ref="AJ151:AJ158" si="224">+W151-AB151</f>
        <v>-5411.43</v>
      </c>
      <c r="AK151" s="8">
        <f t="shared" ref="AK151:AK158" si="225">+W151-AC151</f>
        <v>1438</v>
      </c>
    </row>
    <row r="152" spans="1:37" s="29" customFormat="1" x14ac:dyDescent="0.2">
      <c r="A152" s="2"/>
      <c r="B152" s="2"/>
      <c r="C152" s="2"/>
      <c r="D152" s="2"/>
      <c r="E152" s="2"/>
      <c r="F152" s="2"/>
      <c r="G152" s="2" t="s">
        <v>120</v>
      </c>
      <c r="H152" s="8"/>
      <c r="I152" s="8">
        <v>44786</v>
      </c>
      <c r="J152" s="8"/>
      <c r="K152" s="8">
        <v>56235</v>
      </c>
      <c r="L152" s="8"/>
      <c r="M152" s="8">
        <v>81329</v>
      </c>
      <c r="N152" s="8"/>
      <c r="O152" s="8">
        <v>117408.85</v>
      </c>
      <c r="P152" s="8"/>
      <c r="Q152" s="8">
        <v>190511.95</v>
      </c>
      <c r="R152" s="8"/>
      <c r="S152" s="8"/>
      <c r="T152" s="8"/>
      <c r="U152" s="8">
        <v>83786.05</v>
      </c>
      <c r="V152" s="8"/>
      <c r="W152" s="47">
        <v>62675</v>
      </c>
      <c r="Y152" s="73">
        <v>67838</v>
      </c>
      <c r="AA152" s="8">
        <f t="shared" si="217"/>
        <v>98054.16</v>
      </c>
      <c r="AB152" s="8">
        <f t="shared" si="218"/>
        <v>190511.95</v>
      </c>
      <c r="AC152" s="8">
        <f t="shared" si="219"/>
        <v>44786</v>
      </c>
      <c r="AE152" s="8">
        <f t="shared" si="220"/>
        <v>-14268.11</v>
      </c>
      <c r="AF152" s="8">
        <f t="shared" si="221"/>
        <v>-106725.90000000001</v>
      </c>
      <c r="AG152" s="8">
        <f t="shared" si="222"/>
        <v>39000.050000000003</v>
      </c>
      <c r="AI152" s="8">
        <f t="shared" si="223"/>
        <v>-35379.160000000003</v>
      </c>
      <c r="AJ152" s="8">
        <f t="shared" si="224"/>
        <v>-127836.95000000001</v>
      </c>
      <c r="AK152" s="8">
        <f t="shared" si="225"/>
        <v>17889</v>
      </c>
    </row>
    <row r="153" spans="1:37" s="29" customFormat="1" x14ac:dyDescent="0.2">
      <c r="A153" s="2"/>
      <c r="B153" s="2"/>
      <c r="C153" s="2"/>
      <c r="D153" s="2"/>
      <c r="E153" s="2"/>
      <c r="F153" s="2"/>
      <c r="G153" s="2" t="s">
        <v>121</v>
      </c>
      <c r="H153" s="8"/>
      <c r="I153" s="8">
        <v>88135</v>
      </c>
      <c r="J153" s="8"/>
      <c r="K153" s="8">
        <v>79165</v>
      </c>
      <c r="L153" s="8"/>
      <c r="M153" s="8">
        <v>77839</v>
      </c>
      <c r="N153" s="8"/>
      <c r="O153" s="8">
        <v>76800.210000000006</v>
      </c>
      <c r="P153" s="8"/>
      <c r="Q153" s="8">
        <v>81305.5</v>
      </c>
      <c r="R153" s="8"/>
      <c r="S153" s="8"/>
      <c r="T153" s="8"/>
      <c r="U153" s="8">
        <v>74891.81</v>
      </c>
      <c r="V153" s="8"/>
      <c r="W153" s="47">
        <v>78000</v>
      </c>
      <c r="Y153" s="31">
        <v>73977</v>
      </c>
      <c r="AA153" s="8">
        <f>AVERAGE(I153:Q153)</f>
        <v>80648.94200000001</v>
      </c>
      <c r="AB153" s="8">
        <f t="shared" si="218"/>
        <v>88135</v>
      </c>
      <c r="AC153" s="8">
        <f t="shared" si="219"/>
        <v>76800.210000000006</v>
      </c>
      <c r="AE153" s="8">
        <f t="shared" si="220"/>
        <v>-5757.1320000000123</v>
      </c>
      <c r="AF153" s="8">
        <f t="shared" si="221"/>
        <v>-13243.190000000002</v>
      </c>
      <c r="AG153" s="8">
        <f t="shared" si="222"/>
        <v>-1908.4000000000087</v>
      </c>
      <c r="AI153" s="8">
        <f t="shared" si="223"/>
        <v>-2648.94200000001</v>
      </c>
      <c r="AJ153" s="8">
        <f t="shared" si="224"/>
        <v>-10135</v>
      </c>
      <c r="AK153" s="8">
        <f t="shared" si="225"/>
        <v>1199.7899999999936</v>
      </c>
    </row>
    <row r="154" spans="1:37" s="29" customFormat="1" x14ac:dyDescent="0.2">
      <c r="A154" s="2"/>
      <c r="B154" s="2"/>
      <c r="C154" s="2"/>
      <c r="D154" s="2"/>
      <c r="E154" s="2"/>
      <c r="F154" s="2"/>
      <c r="G154" s="2" t="s">
        <v>122</v>
      </c>
      <c r="H154" s="8"/>
      <c r="I154" s="8"/>
      <c r="J154" s="8"/>
      <c r="K154" s="8"/>
      <c r="L154" s="8"/>
      <c r="M154" s="8"/>
      <c r="N154" s="8"/>
      <c r="O154" s="8">
        <v>85</v>
      </c>
      <c r="P154" s="8"/>
      <c r="Q154" s="8">
        <v>2850</v>
      </c>
      <c r="R154" s="8"/>
      <c r="S154" s="8"/>
      <c r="T154" s="8"/>
      <c r="U154" s="8">
        <v>2229.59</v>
      </c>
      <c r="V154" s="8"/>
      <c r="W154" s="46">
        <v>4000</v>
      </c>
      <c r="Y154" s="73">
        <v>3000</v>
      </c>
      <c r="AA154" s="8">
        <f t="shared" si="217"/>
        <v>1467.5</v>
      </c>
      <c r="AB154" s="8">
        <f t="shared" si="218"/>
        <v>2850</v>
      </c>
      <c r="AC154" s="8">
        <f t="shared" si="219"/>
        <v>85</v>
      </c>
      <c r="AE154" s="8">
        <f t="shared" si="220"/>
        <v>762.09000000000015</v>
      </c>
      <c r="AF154" s="8">
        <f t="shared" si="221"/>
        <v>-620.40999999999985</v>
      </c>
      <c r="AG154" s="8">
        <f t="shared" si="222"/>
        <v>2144.59</v>
      </c>
      <c r="AI154" s="8">
        <f t="shared" si="223"/>
        <v>2532.5</v>
      </c>
      <c r="AJ154" s="8">
        <f t="shared" si="224"/>
        <v>1150</v>
      </c>
      <c r="AK154" s="8">
        <f t="shared" si="225"/>
        <v>3915</v>
      </c>
    </row>
    <row r="155" spans="1:37" s="29" customFormat="1" x14ac:dyDescent="0.2">
      <c r="A155" s="2"/>
      <c r="B155" s="2"/>
      <c r="C155" s="2"/>
      <c r="D155" s="2"/>
      <c r="E155" s="2"/>
      <c r="F155" s="2"/>
      <c r="G155" s="2" t="s">
        <v>296</v>
      </c>
      <c r="H155" s="8"/>
      <c r="I155" s="8"/>
      <c r="J155" s="8"/>
      <c r="K155" s="8"/>
      <c r="L155" s="8"/>
      <c r="M155" s="8"/>
      <c r="N155" s="8"/>
      <c r="O155" s="8"/>
      <c r="P155" s="8"/>
      <c r="Q155" s="8">
        <v>5024.32</v>
      </c>
      <c r="R155" s="8"/>
      <c r="S155" s="8"/>
      <c r="T155" s="8"/>
      <c r="U155" s="8">
        <v>3048.99</v>
      </c>
      <c r="V155" s="8"/>
      <c r="W155" s="46">
        <v>3000</v>
      </c>
      <c r="Y155" s="73">
        <v>5000</v>
      </c>
      <c r="AA155" s="8">
        <f t="shared" si="217"/>
        <v>5024.32</v>
      </c>
      <c r="AB155" s="8">
        <f t="shared" si="218"/>
        <v>5024.32</v>
      </c>
      <c r="AC155" s="8">
        <f t="shared" si="219"/>
        <v>5024.32</v>
      </c>
      <c r="AE155" s="8">
        <f t="shared" si="220"/>
        <v>-1975.33</v>
      </c>
      <c r="AF155" s="8">
        <f t="shared" si="221"/>
        <v>-1975.33</v>
      </c>
      <c r="AG155" s="8">
        <f t="shared" si="222"/>
        <v>-1975.33</v>
      </c>
      <c r="AI155" s="8">
        <f t="shared" si="223"/>
        <v>-2024.3199999999997</v>
      </c>
      <c r="AJ155" s="8">
        <f t="shared" si="224"/>
        <v>-2024.3199999999997</v>
      </c>
      <c r="AK155" s="8">
        <f t="shared" si="225"/>
        <v>-2024.3199999999997</v>
      </c>
    </row>
    <row r="156" spans="1:37" s="29" customFormat="1" x14ac:dyDescent="0.2">
      <c r="A156" s="2"/>
      <c r="B156" s="2"/>
      <c r="C156" s="2"/>
      <c r="D156" s="2"/>
      <c r="E156" s="2"/>
      <c r="F156" s="2"/>
      <c r="G156" s="2" t="s">
        <v>123</v>
      </c>
      <c r="H156" s="8"/>
      <c r="I156" s="8">
        <v>11572</v>
      </c>
      <c r="J156" s="8"/>
      <c r="K156" s="8">
        <v>19433</v>
      </c>
      <c r="L156" s="8"/>
      <c r="M156" s="8">
        <v>29013</v>
      </c>
      <c r="N156" s="8"/>
      <c r="O156" s="8">
        <v>20234.29</v>
      </c>
      <c r="P156" s="8"/>
      <c r="Q156" s="8">
        <v>16654.560000000001</v>
      </c>
      <c r="R156" s="8"/>
      <c r="S156" s="8"/>
      <c r="T156" s="8"/>
      <c r="U156" s="8">
        <v>11260.97</v>
      </c>
      <c r="V156" s="8"/>
      <c r="W156" s="46">
        <v>15000</v>
      </c>
      <c r="Y156" s="73">
        <v>15000</v>
      </c>
      <c r="AA156" s="8">
        <f t="shared" si="217"/>
        <v>19381.370000000003</v>
      </c>
      <c r="AB156" s="8">
        <f t="shared" si="218"/>
        <v>29013</v>
      </c>
      <c r="AC156" s="8">
        <f t="shared" si="219"/>
        <v>11572</v>
      </c>
      <c r="AE156" s="8">
        <f t="shared" si="220"/>
        <v>-8120.4000000000033</v>
      </c>
      <c r="AF156" s="8">
        <f t="shared" si="221"/>
        <v>-17752.03</v>
      </c>
      <c r="AG156" s="8">
        <f t="shared" si="222"/>
        <v>-311.03000000000065</v>
      </c>
      <c r="AI156" s="8">
        <f t="shared" si="223"/>
        <v>-4381.3700000000026</v>
      </c>
      <c r="AJ156" s="8">
        <f t="shared" si="224"/>
        <v>-14013</v>
      </c>
      <c r="AK156" s="8">
        <f t="shared" si="225"/>
        <v>3428</v>
      </c>
    </row>
    <row r="157" spans="1:37" s="29" customFormat="1" x14ac:dyDescent="0.2">
      <c r="A157" s="2"/>
      <c r="B157" s="2"/>
      <c r="C157" s="2"/>
      <c r="D157" s="2"/>
      <c r="E157" s="2"/>
      <c r="F157" s="2"/>
      <c r="G157" s="2" t="s">
        <v>124</v>
      </c>
      <c r="H157" s="8"/>
      <c r="I157" s="8"/>
      <c r="J157" s="8"/>
      <c r="K157" s="8"/>
      <c r="L157" s="8"/>
      <c r="M157" s="8"/>
      <c r="N157" s="8"/>
      <c r="O157" s="8"/>
      <c r="P157" s="8"/>
      <c r="Q157" s="8">
        <v>1896.19</v>
      </c>
      <c r="R157" s="8"/>
      <c r="S157" s="8"/>
      <c r="T157" s="8"/>
      <c r="U157" s="8">
        <v>787.1</v>
      </c>
      <c r="V157" s="8"/>
      <c r="W157" s="47">
        <v>1000</v>
      </c>
      <c r="Y157" s="73">
        <v>2000</v>
      </c>
      <c r="AA157" s="8">
        <f t="shared" si="217"/>
        <v>1896.19</v>
      </c>
      <c r="AB157" s="8">
        <f t="shared" si="218"/>
        <v>1896.19</v>
      </c>
      <c r="AC157" s="8">
        <f t="shared" si="219"/>
        <v>1896.19</v>
      </c>
      <c r="AE157" s="8">
        <f t="shared" si="220"/>
        <v>-1109.0900000000001</v>
      </c>
      <c r="AF157" s="8">
        <f t="shared" si="221"/>
        <v>-1109.0900000000001</v>
      </c>
      <c r="AG157" s="8">
        <f t="shared" si="222"/>
        <v>-1109.0900000000001</v>
      </c>
      <c r="AI157" s="8">
        <f t="shared" si="223"/>
        <v>-896.19</v>
      </c>
      <c r="AJ157" s="8">
        <f t="shared" si="224"/>
        <v>-896.19</v>
      </c>
      <c r="AK157" s="8">
        <f t="shared" si="225"/>
        <v>-896.19</v>
      </c>
    </row>
    <row r="158" spans="1:37" s="29" customFormat="1" ht="10.8" thickBot="1" x14ac:dyDescent="0.25">
      <c r="A158" s="2"/>
      <c r="B158" s="2"/>
      <c r="C158" s="2"/>
      <c r="D158" s="2"/>
      <c r="E158" s="2"/>
      <c r="F158" s="2"/>
      <c r="G158" s="2" t="s">
        <v>125</v>
      </c>
      <c r="H158" s="8"/>
      <c r="I158" s="9">
        <v>9428</v>
      </c>
      <c r="J158" s="8"/>
      <c r="K158" s="9">
        <v>12249</v>
      </c>
      <c r="L158" s="8"/>
      <c r="M158" s="9">
        <v>19854</v>
      </c>
      <c r="N158" s="8"/>
      <c r="O158" s="9">
        <v>19238.939999999999</v>
      </c>
      <c r="P158" s="9"/>
      <c r="Q158" s="8">
        <v>8903.7900000000009</v>
      </c>
      <c r="R158" s="9"/>
      <c r="S158" s="9"/>
      <c r="T158" s="8"/>
      <c r="U158" s="8">
        <v>3782.62</v>
      </c>
      <c r="V158" s="8"/>
      <c r="W158" s="50">
        <v>11500</v>
      </c>
      <c r="Y158" s="81">
        <v>11000</v>
      </c>
      <c r="AA158" s="9">
        <f t="shared" si="217"/>
        <v>13934.746000000003</v>
      </c>
      <c r="AB158" s="9">
        <f t="shared" si="218"/>
        <v>19854</v>
      </c>
      <c r="AC158" s="9">
        <f t="shared" si="219"/>
        <v>8903.7900000000009</v>
      </c>
      <c r="AE158" s="9">
        <f t="shared" si="220"/>
        <v>-10152.126000000004</v>
      </c>
      <c r="AF158" s="9">
        <f t="shared" si="221"/>
        <v>-16071.380000000001</v>
      </c>
      <c r="AG158" s="9">
        <f t="shared" si="222"/>
        <v>-5121.170000000001</v>
      </c>
      <c r="AI158" s="9">
        <f t="shared" si="223"/>
        <v>-2434.7460000000028</v>
      </c>
      <c r="AJ158" s="9">
        <f t="shared" si="224"/>
        <v>-8354</v>
      </c>
      <c r="AK158" s="9">
        <f t="shared" si="225"/>
        <v>2596.2099999999991</v>
      </c>
    </row>
    <row r="159" spans="1:37" s="29" customFormat="1" ht="10.8" thickBot="1" x14ac:dyDescent="0.25">
      <c r="A159" s="2"/>
      <c r="B159" s="2"/>
      <c r="C159" s="2"/>
      <c r="D159" s="2"/>
      <c r="E159" s="2"/>
      <c r="F159" s="2" t="s">
        <v>126</v>
      </c>
      <c r="G159" s="2"/>
      <c r="H159" s="8"/>
      <c r="I159" s="10">
        <f>ROUND(SUM(I150:I158),5)</f>
        <v>158483</v>
      </c>
      <c r="J159" s="8"/>
      <c r="K159" s="10">
        <f>ROUND(SUM(K150:K158),5)</f>
        <v>173932</v>
      </c>
      <c r="L159" s="8"/>
      <c r="M159" s="10">
        <f>ROUND(SUM(M150:M158),5)</f>
        <v>218780</v>
      </c>
      <c r="N159" s="8"/>
      <c r="O159" s="10">
        <f>ROUND(SUM(O150:O158),5)</f>
        <v>245178.72</v>
      </c>
      <c r="P159" s="10"/>
      <c r="Q159" s="10">
        <f>ROUND(SUM(Q150:Q158),5)</f>
        <v>312655.25</v>
      </c>
      <c r="R159" s="9"/>
      <c r="S159" s="9"/>
      <c r="T159" s="8"/>
      <c r="U159" s="34">
        <f>ROUND(SUM(U150:U158),5)</f>
        <v>185004.88</v>
      </c>
      <c r="V159" s="8"/>
      <c r="W159" s="34">
        <f>ROUND(SUM(W150:W158),5)</f>
        <v>181175</v>
      </c>
      <c r="Y159" s="82">
        <f>ROUND(SUM(Y150:Y158),5)</f>
        <v>185315</v>
      </c>
      <c r="AA159" s="10">
        <f t="shared" ref="AA159:AC159" si="226">ROUND(SUM(AA150:AA158),5)</f>
        <v>228222.70199999999</v>
      </c>
      <c r="AB159" s="10">
        <f t="shared" si="226"/>
        <v>348695.89</v>
      </c>
      <c r="AC159" s="10">
        <f t="shared" si="226"/>
        <v>153629.51</v>
      </c>
      <c r="AE159" s="10">
        <f t="shared" ref="AE159" si="227">ROUND(SUM(AE150:AE158),5)</f>
        <v>-43217.822</v>
      </c>
      <c r="AF159" s="10">
        <f t="shared" ref="AF159" si="228">ROUND(SUM(AF150:AF158),5)</f>
        <v>-163691.01</v>
      </c>
      <c r="AG159" s="10">
        <f t="shared" ref="AG159" si="229">ROUND(SUM(AG150:AG158),5)</f>
        <v>31375.37</v>
      </c>
      <c r="AI159" s="10">
        <f t="shared" ref="AI159:AK159" si="230">ROUND(SUM(AI150:AI158),5)</f>
        <v>-47047.701999999997</v>
      </c>
      <c r="AJ159" s="10">
        <f t="shared" si="230"/>
        <v>-167520.89000000001</v>
      </c>
      <c r="AK159" s="10">
        <f t="shared" si="230"/>
        <v>27545.49</v>
      </c>
    </row>
    <row r="160" spans="1:37" s="29" customFormat="1" x14ac:dyDescent="0.2">
      <c r="A160" s="2"/>
      <c r="B160" s="2"/>
      <c r="C160" s="2"/>
      <c r="D160" s="2"/>
      <c r="E160" s="24" t="s">
        <v>127</v>
      </c>
      <c r="F160" s="2"/>
      <c r="G160" s="2"/>
      <c r="H160" s="8"/>
      <c r="I160" s="8">
        <f>ROUND(I128+I135+I140+I146+I149+I159,5)</f>
        <v>450890</v>
      </c>
      <c r="J160" s="8"/>
      <c r="K160" s="8">
        <f>ROUND(K128+K135+K140+K146+K149+K159,5)</f>
        <v>485452</v>
      </c>
      <c r="L160" s="8"/>
      <c r="M160" s="8">
        <f>ROUND(M128+M135+M140+M146+M149+M159,5)</f>
        <v>541583</v>
      </c>
      <c r="N160" s="8"/>
      <c r="O160" s="8">
        <f>ROUND(O128+O135+O140+O146+O149+O159,5)</f>
        <v>595946.06999999995</v>
      </c>
      <c r="P160" s="8"/>
      <c r="Q160" s="8">
        <f>ROUND(Q128+Q135+Q140+Q146+Q149+Q159,5)</f>
        <v>672973.61</v>
      </c>
      <c r="R160" s="8"/>
      <c r="S160" s="8"/>
      <c r="T160" s="8"/>
      <c r="U160" s="31">
        <f>ROUND(U128+U135+U140+U146+U149+U159,5)</f>
        <v>534564.94999999995</v>
      </c>
      <c r="V160" s="8"/>
      <c r="W160" s="31">
        <f>ROUND(W128+W135+W140+W146+W149+W159,5)</f>
        <v>571223</v>
      </c>
      <c r="Y160" s="31">
        <f>ROUND(Y128+Y135+Y140+Y146+Y149+Y159,5)</f>
        <v>586083</v>
      </c>
      <c r="AA160" s="8">
        <f t="shared" ref="AA160:AC160" si="231">ROUND(AA128+AA135+AA140+AA146+AA149+AA159,5)</f>
        <v>568443.57733</v>
      </c>
      <c r="AB160" s="8">
        <f t="shared" si="231"/>
        <v>737093.13</v>
      </c>
      <c r="AC160" s="8">
        <f t="shared" si="231"/>
        <v>453816.23</v>
      </c>
      <c r="AE160" s="8">
        <f>ROUND(AE128+AE135+AE140+AE146+AE149+AE159,5)</f>
        <v>-33878.627330000003</v>
      </c>
      <c r="AF160" s="8">
        <f>ROUND(AF128+AF135+AF140+AF146+AF149+AF159,5)</f>
        <v>-202528.18</v>
      </c>
      <c r="AG160" s="8">
        <f>ROUND(AG128+AG135+AG140+AG146+AG149+AG159,5)</f>
        <v>80748.72</v>
      </c>
      <c r="AI160" s="8">
        <f>ROUND(AI128+AI135+AI140+AI146+AI149+AI159,5)</f>
        <v>2779.4226699999999</v>
      </c>
      <c r="AJ160" s="8">
        <f>ROUND(AJ128+AJ135+AJ140+AJ146+AJ149+AJ159,5)</f>
        <v>-165870.13</v>
      </c>
      <c r="AK160" s="8">
        <f>ROUND(AK128+AK135+AK140+AK146+AK149+AK159,5)</f>
        <v>117406.77</v>
      </c>
    </row>
    <row r="161" spans="1:38" s="29" customFormat="1" x14ac:dyDescent="0.2">
      <c r="A161" s="2"/>
      <c r="B161" s="2"/>
      <c r="C161" s="2"/>
      <c r="D161" s="2"/>
      <c r="E161" s="2"/>
      <c r="F161" s="2"/>
      <c r="G161" s="2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Y161" s="8"/>
      <c r="AA161" s="8"/>
      <c r="AB161" s="8"/>
      <c r="AC161" s="8"/>
      <c r="AE161" s="8"/>
      <c r="AF161" s="8"/>
      <c r="AG161" s="8"/>
      <c r="AI161" s="8"/>
      <c r="AJ161" s="8"/>
      <c r="AK161" s="8"/>
    </row>
    <row r="162" spans="1:38" s="29" customFormat="1" x14ac:dyDescent="0.2">
      <c r="A162" s="2"/>
      <c r="B162" s="2"/>
      <c r="C162" s="2"/>
      <c r="D162" s="2"/>
      <c r="E162" s="24" t="s">
        <v>128</v>
      </c>
      <c r="F162" s="2"/>
      <c r="G162" s="2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Y162" s="8"/>
      <c r="AA162" s="8"/>
      <c r="AB162" s="8"/>
      <c r="AC162" s="8"/>
      <c r="AE162" s="8"/>
      <c r="AF162" s="8"/>
      <c r="AG162" s="8"/>
      <c r="AI162" s="8"/>
      <c r="AJ162" s="8"/>
      <c r="AK162" s="8"/>
    </row>
    <row r="163" spans="1:38" s="29" customFormat="1" x14ac:dyDescent="0.2">
      <c r="A163" s="2"/>
      <c r="B163" s="2"/>
      <c r="C163" s="2"/>
      <c r="D163" s="2"/>
      <c r="E163" s="2"/>
      <c r="F163" s="2" t="s">
        <v>129</v>
      </c>
      <c r="G163" s="2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Y163" s="8"/>
      <c r="AA163" s="8"/>
      <c r="AB163" s="8"/>
      <c r="AC163" s="8"/>
      <c r="AE163" s="8"/>
      <c r="AF163" s="8"/>
      <c r="AG163" s="8"/>
      <c r="AI163" s="8"/>
      <c r="AJ163" s="8"/>
      <c r="AK163" s="8"/>
    </row>
    <row r="164" spans="1:38" s="29" customFormat="1" x14ac:dyDescent="0.2">
      <c r="A164" s="2"/>
      <c r="B164" s="2"/>
      <c r="C164" s="2"/>
      <c r="D164" s="2"/>
      <c r="E164" s="2"/>
      <c r="F164" s="2"/>
      <c r="G164" s="2" t="s">
        <v>130</v>
      </c>
      <c r="H164" s="8"/>
      <c r="I164" s="8">
        <v>587493</v>
      </c>
      <c r="J164" s="8"/>
      <c r="K164" s="8">
        <v>581647</v>
      </c>
      <c r="L164" s="8"/>
      <c r="M164" s="8">
        <v>528042</v>
      </c>
      <c r="N164" s="8"/>
      <c r="O164" s="8">
        <v>514245.02</v>
      </c>
      <c r="P164" s="8"/>
      <c r="Q164" s="8">
        <v>541982.52</v>
      </c>
      <c r="R164" s="8"/>
      <c r="S164" s="8"/>
      <c r="T164" s="8"/>
      <c r="U164" s="8">
        <v>484777.61</v>
      </c>
      <c r="V164" s="8"/>
      <c r="W164" s="47">
        <v>572199</v>
      </c>
      <c r="Y164" s="88">
        <v>628500</v>
      </c>
      <c r="Z164" s="6"/>
      <c r="AA164" s="8">
        <f t="shared" ref="AA164:AA170" si="232">AVERAGE(I164:Q164)</f>
        <v>550681.90800000005</v>
      </c>
      <c r="AB164" s="8">
        <f t="shared" ref="AB164:AB170" si="233">MAX(I164:Q164)</f>
        <v>587493</v>
      </c>
      <c r="AC164" s="8">
        <f t="shared" ref="AC164:AC170" si="234">MIN(I164:Q164)</f>
        <v>514245.02</v>
      </c>
      <c r="AE164" s="8">
        <f t="shared" ref="AE164:AE170" si="235">+U164-AA164</f>
        <v>-65904.298000000068</v>
      </c>
      <c r="AF164" s="8">
        <f t="shared" ref="AF164:AF170" si="236">+U164-AB164</f>
        <v>-102715.39000000001</v>
      </c>
      <c r="AG164" s="8">
        <f t="shared" ref="AG164:AG170" si="237">+U164-AC164</f>
        <v>-29467.410000000033</v>
      </c>
      <c r="AI164" s="8">
        <f t="shared" ref="AI164:AI170" si="238">+W164-AA164</f>
        <v>21517.091999999946</v>
      </c>
      <c r="AJ164" s="8">
        <f t="shared" ref="AJ164:AJ170" si="239">+W164-AB164</f>
        <v>-15294</v>
      </c>
      <c r="AK164" s="8">
        <f t="shared" ref="AK164:AK170" si="240">+W164-AC164</f>
        <v>57953.979999999981</v>
      </c>
    </row>
    <row r="165" spans="1:38" s="29" customFormat="1" x14ac:dyDescent="0.2">
      <c r="A165" s="2"/>
      <c r="B165" s="2"/>
      <c r="C165" s="2"/>
      <c r="D165" s="2"/>
      <c r="E165" s="2"/>
      <c r="F165" s="2"/>
      <c r="G165" s="52" t="s">
        <v>330</v>
      </c>
      <c r="H165" s="8"/>
      <c r="I165" s="8">
        <v>29214</v>
      </c>
      <c r="J165" s="8"/>
      <c r="K165" s="8">
        <v>21451</v>
      </c>
      <c r="L165" s="8"/>
      <c r="M165" s="8">
        <v>20480</v>
      </c>
      <c r="N165" s="8"/>
      <c r="O165" s="8">
        <v>3800</v>
      </c>
      <c r="P165" s="8"/>
      <c r="Q165" s="8">
        <v>9764</v>
      </c>
      <c r="R165" s="8"/>
      <c r="S165" s="8"/>
      <c r="T165" s="8"/>
      <c r="U165" s="8">
        <v>20614.75</v>
      </c>
      <c r="V165" s="8"/>
      <c r="W165" s="46">
        <v>20000</v>
      </c>
      <c r="Y165" s="73">
        <v>20000</v>
      </c>
      <c r="Z165" s="6"/>
      <c r="AA165" s="8">
        <f t="shared" si="232"/>
        <v>16941.8</v>
      </c>
      <c r="AB165" s="8">
        <f t="shared" si="233"/>
        <v>29214</v>
      </c>
      <c r="AC165" s="8">
        <f t="shared" si="234"/>
        <v>3800</v>
      </c>
      <c r="AE165" s="8">
        <f t="shared" si="235"/>
        <v>3672.9500000000007</v>
      </c>
      <c r="AF165" s="8">
        <f t="shared" si="236"/>
        <v>-8599.25</v>
      </c>
      <c r="AG165" s="8">
        <f t="shared" si="237"/>
        <v>16814.75</v>
      </c>
      <c r="AI165" s="8">
        <f t="shared" si="238"/>
        <v>3058.2000000000007</v>
      </c>
      <c r="AJ165" s="8">
        <f t="shared" si="239"/>
        <v>-9214</v>
      </c>
      <c r="AK165" s="8">
        <f t="shared" si="240"/>
        <v>16200</v>
      </c>
    </row>
    <row r="166" spans="1:38" s="29" customFormat="1" x14ac:dyDescent="0.2">
      <c r="A166" s="2"/>
      <c r="B166" s="2"/>
      <c r="C166" s="2"/>
      <c r="D166" s="2"/>
      <c r="E166" s="2"/>
      <c r="F166" s="2"/>
      <c r="G166" s="2" t="s">
        <v>131</v>
      </c>
      <c r="H166" s="8"/>
      <c r="I166" s="8">
        <v>52971</v>
      </c>
      <c r="J166" s="8"/>
      <c r="K166" s="8">
        <v>51746</v>
      </c>
      <c r="L166" s="8"/>
      <c r="M166" s="8">
        <v>45081</v>
      </c>
      <c r="N166" s="8"/>
      <c r="O166" s="8">
        <v>42449.7</v>
      </c>
      <c r="P166" s="8"/>
      <c r="Q166" s="8">
        <v>44484.160000000003</v>
      </c>
      <c r="R166" s="8"/>
      <c r="S166" s="8"/>
      <c r="T166" s="8"/>
      <c r="U166" s="8">
        <v>41568.68</v>
      </c>
      <c r="V166" s="8"/>
      <c r="W166" s="47">
        <v>43774</v>
      </c>
      <c r="Y166" s="73">
        <v>50375</v>
      </c>
      <c r="Z166" s="6"/>
      <c r="AA166" s="8">
        <f t="shared" si="232"/>
        <v>47346.372000000003</v>
      </c>
      <c r="AB166" s="8">
        <f t="shared" si="233"/>
        <v>52971</v>
      </c>
      <c r="AC166" s="8">
        <f t="shared" si="234"/>
        <v>42449.7</v>
      </c>
      <c r="AE166" s="8">
        <f t="shared" si="235"/>
        <v>-5777.6920000000027</v>
      </c>
      <c r="AF166" s="8">
        <f t="shared" si="236"/>
        <v>-11402.32</v>
      </c>
      <c r="AG166" s="8">
        <f t="shared" si="237"/>
        <v>-881.0199999999968</v>
      </c>
      <c r="AI166" s="8">
        <f t="shared" si="238"/>
        <v>-3572.372000000003</v>
      </c>
      <c r="AJ166" s="8">
        <f t="shared" si="239"/>
        <v>-9197</v>
      </c>
      <c r="AK166" s="8">
        <f t="shared" si="240"/>
        <v>1324.3000000000029</v>
      </c>
    </row>
    <row r="167" spans="1:38" s="29" customFormat="1" x14ac:dyDescent="0.2">
      <c r="A167" s="2"/>
      <c r="B167" s="2"/>
      <c r="C167" s="2"/>
      <c r="D167" s="2"/>
      <c r="E167" s="2"/>
      <c r="F167" s="2"/>
      <c r="G167" s="2" t="s">
        <v>132</v>
      </c>
      <c r="H167" s="8"/>
      <c r="I167" s="8">
        <v>128888</v>
      </c>
      <c r="J167" s="8"/>
      <c r="K167" s="8">
        <v>146217</v>
      </c>
      <c r="L167" s="8"/>
      <c r="M167" s="8">
        <v>150959</v>
      </c>
      <c r="N167" s="8"/>
      <c r="O167" s="8">
        <v>137623.9</v>
      </c>
      <c r="P167" s="8"/>
      <c r="Q167" s="8">
        <v>151455.93</v>
      </c>
      <c r="R167" s="8"/>
      <c r="S167" s="8"/>
      <c r="T167" s="8"/>
      <c r="U167" s="8">
        <v>133370.1</v>
      </c>
      <c r="V167" s="8"/>
      <c r="W167" s="47">
        <v>168656</v>
      </c>
      <c r="Y167" s="73">
        <v>168843</v>
      </c>
      <c r="Z167" s="6"/>
      <c r="AA167" s="8">
        <f t="shared" si="232"/>
        <v>143028.766</v>
      </c>
      <c r="AB167" s="8">
        <f t="shared" si="233"/>
        <v>151455.93</v>
      </c>
      <c r="AC167" s="8">
        <f t="shared" si="234"/>
        <v>128888</v>
      </c>
      <c r="AE167" s="8">
        <f t="shared" si="235"/>
        <v>-9658.6659999999974</v>
      </c>
      <c r="AF167" s="8">
        <f t="shared" si="236"/>
        <v>-18085.829999999987</v>
      </c>
      <c r="AG167" s="8">
        <f t="shared" si="237"/>
        <v>4482.1000000000058</v>
      </c>
      <c r="AI167" s="8">
        <f t="shared" si="238"/>
        <v>25627.233999999997</v>
      </c>
      <c r="AJ167" s="8">
        <f t="shared" si="239"/>
        <v>17200.070000000007</v>
      </c>
      <c r="AK167" s="8">
        <f t="shared" si="240"/>
        <v>39768</v>
      </c>
    </row>
    <row r="168" spans="1:38" s="29" customFormat="1" x14ac:dyDescent="0.2">
      <c r="A168" s="2"/>
      <c r="B168" s="2"/>
      <c r="C168" s="2"/>
      <c r="D168" s="2"/>
      <c r="E168" s="2"/>
      <c r="F168" s="2"/>
      <c r="G168" s="2" t="s">
        <v>133</v>
      </c>
      <c r="H168" s="8"/>
      <c r="I168" s="8">
        <v>58884</v>
      </c>
      <c r="J168" s="8"/>
      <c r="K168" s="8">
        <v>58305</v>
      </c>
      <c r="L168" s="8"/>
      <c r="M168" s="8">
        <v>57194</v>
      </c>
      <c r="N168" s="8"/>
      <c r="O168" s="8">
        <v>51669.31</v>
      </c>
      <c r="P168" s="8"/>
      <c r="Q168" s="8">
        <v>67350.73</v>
      </c>
      <c r="R168" s="8"/>
      <c r="S168" s="8"/>
      <c r="T168" s="8"/>
      <c r="U168" s="8">
        <v>65432.37</v>
      </c>
      <c r="V168" s="8"/>
      <c r="W168" s="47">
        <v>81445</v>
      </c>
      <c r="Y168" s="73">
        <v>87317</v>
      </c>
      <c r="Z168" s="6"/>
      <c r="AA168" s="8">
        <f t="shared" si="232"/>
        <v>58680.607999999993</v>
      </c>
      <c r="AB168" s="8">
        <f t="shared" si="233"/>
        <v>67350.73</v>
      </c>
      <c r="AC168" s="8">
        <f t="shared" si="234"/>
        <v>51669.31</v>
      </c>
      <c r="AE168" s="8">
        <f t="shared" si="235"/>
        <v>6751.7620000000097</v>
      </c>
      <c r="AF168" s="8">
        <f t="shared" si="236"/>
        <v>-1918.3599999999933</v>
      </c>
      <c r="AG168" s="8">
        <f t="shared" si="237"/>
        <v>13763.060000000005</v>
      </c>
      <c r="AI168" s="8">
        <f t="shared" si="238"/>
        <v>22764.392000000007</v>
      </c>
      <c r="AJ168" s="8">
        <f t="shared" si="239"/>
        <v>14094.270000000004</v>
      </c>
      <c r="AK168" s="8">
        <f t="shared" si="240"/>
        <v>29775.690000000002</v>
      </c>
    </row>
    <row r="169" spans="1:38" s="29" customFormat="1" ht="12" customHeight="1" x14ac:dyDescent="0.2">
      <c r="A169" s="2"/>
      <c r="B169" s="2"/>
      <c r="C169" s="2"/>
      <c r="D169" s="2"/>
      <c r="E169" s="2"/>
      <c r="F169" s="2"/>
      <c r="G169" s="2" t="s">
        <v>134</v>
      </c>
      <c r="H169" s="8"/>
      <c r="I169" s="9">
        <v>8603</v>
      </c>
      <c r="J169" s="9"/>
      <c r="K169" s="9">
        <v>4413</v>
      </c>
      <c r="L169" s="9"/>
      <c r="M169" s="9">
        <v>5499</v>
      </c>
      <c r="N169" s="9"/>
      <c r="O169" s="9">
        <v>3296.16</v>
      </c>
      <c r="P169" s="9"/>
      <c r="Q169" s="8">
        <v>9148.1299999999992</v>
      </c>
      <c r="R169" s="9"/>
      <c r="S169" s="9"/>
      <c r="T169" s="9"/>
      <c r="U169" s="8">
        <v>6961.98</v>
      </c>
      <c r="V169" s="9"/>
      <c r="W169" s="50">
        <v>5000</v>
      </c>
      <c r="X169" s="32"/>
      <c r="Y169" s="90">
        <v>7500</v>
      </c>
      <c r="Z169" s="43"/>
      <c r="AA169" s="9">
        <f t="shared" si="232"/>
        <v>6191.8580000000002</v>
      </c>
      <c r="AB169" s="9">
        <f t="shared" si="233"/>
        <v>9148.1299999999992</v>
      </c>
      <c r="AC169" s="9">
        <f t="shared" si="234"/>
        <v>3296.16</v>
      </c>
      <c r="AE169" s="9">
        <f t="shared" si="235"/>
        <v>770.12199999999939</v>
      </c>
      <c r="AF169" s="9">
        <f t="shared" si="236"/>
        <v>-2186.1499999999996</v>
      </c>
      <c r="AG169" s="9">
        <f t="shared" si="237"/>
        <v>3665.8199999999997</v>
      </c>
      <c r="AI169" s="9">
        <f t="shared" si="238"/>
        <v>-1191.8580000000002</v>
      </c>
      <c r="AJ169" s="9">
        <f t="shared" si="239"/>
        <v>-4148.1299999999992</v>
      </c>
      <c r="AK169" s="9">
        <f t="shared" si="240"/>
        <v>1703.8400000000001</v>
      </c>
      <c r="AL169" s="32"/>
    </row>
    <row r="170" spans="1:38" s="29" customFormat="1" ht="10.8" thickBot="1" x14ac:dyDescent="0.25">
      <c r="A170" s="2"/>
      <c r="B170" s="2"/>
      <c r="C170" s="2"/>
      <c r="D170" s="2"/>
      <c r="E170" s="2"/>
      <c r="F170" s="2"/>
      <c r="G170" s="2" t="s">
        <v>311</v>
      </c>
      <c r="H170" s="8"/>
      <c r="I170" s="11"/>
      <c r="J170" s="8"/>
      <c r="K170" s="11"/>
      <c r="L170" s="8"/>
      <c r="M170" s="11"/>
      <c r="N170" s="8"/>
      <c r="O170" s="11"/>
      <c r="P170" s="11"/>
      <c r="Q170" s="11">
        <v>0</v>
      </c>
      <c r="R170" s="9"/>
      <c r="S170" s="9"/>
      <c r="T170" s="8"/>
      <c r="U170" s="11">
        <v>36858.03</v>
      </c>
      <c r="V170" s="8"/>
      <c r="W170" s="42">
        <v>38093</v>
      </c>
      <c r="Y170" s="74">
        <v>41530</v>
      </c>
      <c r="Z170" s="6"/>
      <c r="AA170" s="11">
        <f t="shared" si="232"/>
        <v>0</v>
      </c>
      <c r="AB170" s="11">
        <f t="shared" si="233"/>
        <v>0</v>
      </c>
      <c r="AC170" s="11">
        <f t="shared" si="234"/>
        <v>0</v>
      </c>
      <c r="AE170" s="11">
        <f t="shared" si="235"/>
        <v>36858.03</v>
      </c>
      <c r="AF170" s="11">
        <f t="shared" si="236"/>
        <v>36858.03</v>
      </c>
      <c r="AG170" s="11">
        <f t="shared" si="237"/>
        <v>36858.03</v>
      </c>
      <c r="AI170" s="11">
        <f t="shared" si="238"/>
        <v>38093</v>
      </c>
      <c r="AJ170" s="11">
        <f t="shared" si="239"/>
        <v>38093</v>
      </c>
      <c r="AK170" s="11">
        <f t="shared" si="240"/>
        <v>38093</v>
      </c>
    </row>
    <row r="171" spans="1:38" s="29" customFormat="1" x14ac:dyDescent="0.2">
      <c r="A171" s="2"/>
      <c r="B171" s="2"/>
      <c r="C171" s="2"/>
      <c r="D171" s="2"/>
      <c r="E171" s="2"/>
      <c r="F171" s="2" t="s">
        <v>135</v>
      </c>
      <c r="G171" s="2"/>
      <c r="H171" s="8"/>
      <c r="I171" s="8">
        <f>ROUND(SUM(I163:I170),5)</f>
        <v>866053</v>
      </c>
      <c r="J171" s="8"/>
      <c r="K171" s="8">
        <f>ROUND(SUM(K163:K170),5)</f>
        <v>863779</v>
      </c>
      <c r="L171" s="8"/>
      <c r="M171" s="8">
        <f>ROUND(SUM(M163:M170),5)</f>
        <v>807255</v>
      </c>
      <c r="N171" s="8"/>
      <c r="O171" s="8">
        <f>ROUND(SUM(O163:O170),5)</f>
        <v>753084.09</v>
      </c>
      <c r="P171" s="8"/>
      <c r="Q171" s="8">
        <f>ROUND(SUM(Q163:Q170),5)</f>
        <v>824185.47</v>
      </c>
      <c r="R171" s="8"/>
      <c r="S171" s="8"/>
      <c r="T171" s="8"/>
      <c r="U171" s="31">
        <f>ROUND(SUM(U163:U170),5)</f>
        <v>789583.52</v>
      </c>
      <c r="V171" s="8"/>
      <c r="W171" s="31">
        <f>ROUND(SUM(W163:W170),5)</f>
        <v>929167</v>
      </c>
      <c r="Y171" s="75">
        <f>ROUND(SUM(Y163:Y170),5)</f>
        <v>1004065</v>
      </c>
      <c r="Z171" s="6"/>
      <c r="AA171" s="8">
        <f>ROUND(SUM(AA163:AA170),5)</f>
        <v>822871.31200000003</v>
      </c>
      <c r="AB171" s="8">
        <f>ROUND(SUM(AB163:AB169),5)</f>
        <v>897632.79</v>
      </c>
      <c r="AC171" s="8">
        <f>ROUND(SUM(AC163:AC170),5)</f>
        <v>744348.19</v>
      </c>
      <c r="AE171" s="8">
        <f>ROUND(SUM(AE163:AE170),5)</f>
        <v>-33287.792000000001</v>
      </c>
      <c r="AF171" s="8">
        <f>ROUND(SUM(AF163:AF169),5)</f>
        <v>-144907.29999999999</v>
      </c>
      <c r="AG171" s="8">
        <f>ROUND(SUM(AG163:AG170),5)</f>
        <v>45235.33</v>
      </c>
      <c r="AI171" s="8">
        <f>ROUND(SUM(AI163:AI170),5)</f>
        <v>106295.68799999999</v>
      </c>
      <c r="AJ171" s="8">
        <f>ROUND(SUM(AJ163:AJ169),5)</f>
        <v>-6558.79</v>
      </c>
      <c r="AK171" s="8">
        <f>ROUND(SUM(AK163:AK170),5)</f>
        <v>184818.81</v>
      </c>
    </row>
    <row r="172" spans="1:38" s="29" customFormat="1" x14ac:dyDescent="0.2">
      <c r="A172" s="2"/>
      <c r="B172" s="2"/>
      <c r="C172" s="2"/>
      <c r="D172" s="2"/>
      <c r="E172" s="2"/>
      <c r="F172" s="24" t="s">
        <v>136</v>
      </c>
      <c r="G172" s="2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Y172" s="77"/>
      <c r="Z172" s="6"/>
      <c r="AA172" s="8"/>
      <c r="AB172" s="8">
        <f t="shared" ref="AB172:AB177" si="241">MAX(I172:Q172)</f>
        <v>0</v>
      </c>
      <c r="AC172" s="8">
        <f t="shared" ref="AC172:AC177" si="242">MIN(I172:Q172)</f>
        <v>0</v>
      </c>
      <c r="AE172" s="8">
        <f t="shared" ref="AE172:AE177" si="243">+U172-AA172</f>
        <v>0</v>
      </c>
      <c r="AF172" s="8">
        <f t="shared" ref="AF172:AF177" si="244">+U172-AB172</f>
        <v>0</v>
      </c>
      <c r="AG172" s="8">
        <f t="shared" ref="AG172:AG177" si="245">+U172-AC172</f>
        <v>0</v>
      </c>
      <c r="AI172" s="8">
        <f t="shared" ref="AI172:AI177" si="246">+W172-AA172</f>
        <v>0</v>
      </c>
      <c r="AJ172" s="8">
        <f t="shared" ref="AJ172:AJ177" si="247">+W172-AB172</f>
        <v>0</v>
      </c>
      <c r="AK172" s="8">
        <f t="shared" ref="AK172:AK177" si="248">+W172-AC172</f>
        <v>0</v>
      </c>
    </row>
    <row r="173" spans="1:38" s="29" customFormat="1" x14ac:dyDescent="0.2">
      <c r="A173" s="2"/>
      <c r="B173" s="2"/>
      <c r="C173" s="2"/>
      <c r="D173" s="2"/>
      <c r="E173" s="2"/>
      <c r="F173" s="2"/>
      <c r="G173" s="52" t="s">
        <v>391</v>
      </c>
      <c r="H173" s="8"/>
      <c r="I173" s="8"/>
      <c r="J173" s="8"/>
      <c r="K173" s="8"/>
      <c r="L173" s="8"/>
      <c r="M173" s="8">
        <v>175829</v>
      </c>
      <c r="N173" s="8"/>
      <c r="O173" s="8">
        <v>102866.08</v>
      </c>
      <c r="P173" s="8"/>
      <c r="Q173" s="8">
        <v>79599.28</v>
      </c>
      <c r="R173" s="8"/>
      <c r="S173" s="8"/>
      <c r="T173" s="8"/>
      <c r="U173" s="8">
        <v>102598.86</v>
      </c>
      <c r="V173" s="8"/>
      <c r="W173" s="46">
        <v>125704</v>
      </c>
      <c r="Y173" s="73">
        <v>128005</v>
      </c>
      <c r="Z173" s="6"/>
      <c r="AA173" s="8">
        <f t="shared" ref="AA173:AA177" si="249">AVERAGE(I173:Q173)</f>
        <v>119431.45333333332</v>
      </c>
      <c r="AB173" s="8">
        <f t="shared" si="241"/>
        <v>175829</v>
      </c>
      <c r="AC173" s="8">
        <f t="shared" si="242"/>
        <v>79599.28</v>
      </c>
      <c r="AE173" s="8">
        <f t="shared" si="243"/>
        <v>-16832.593333333323</v>
      </c>
      <c r="AF173" s="8">
        <f t="shared" si="244"/>
        <v>-73230.14</v>
      </c>
      <c r="AG173" s="8">
        <f t="shared" si="245"/>
        <v>22999.58</v>
      </c>
      <c r="AI173" s="8">
        <f t="shared" si="246"/>
        <v>6272.5466666666762</v>
      </c>
      <c r="AJ173" s="8">
        <f t="shared" si="247"/>
        <v>-50125</v>
      </c>
      <c r="AK173" s="8">
        <f t="shared" si="248"/>
        <v>46104.72</v>
      </c>
    </row>
    <row r="174" spans="1:38" s="29" customFormat="1" x14ac:dyDescent="0.2">
      <c r="A174" s="2"/>
      <c r="B174" s="2"/>
      <c r="C174" s="2"/>
      <c r="D174" s="2"/>
      <c r="E174" s="2"/>
      <c r="F174" s="2"/>
      <c r="G174" s="2" t="s">
        <v>137</v>
      </c>
      <c r="H174" s="8"/>
      <c r="I174" s="8"/>
      <c r="J174" s="8"/>
      <c r="K174" s="8"/>
      <c r="L174" s="8"/>
      <c r="M174" s="8">
        <v>15778</v>
      </c>
      <c r="N174" s="8"/>
      <c r="O174" s="8">
        <v>8884.81</v>
      </c>
      <c r="P174" s="8"/>
      <c r="Q174" s="8">
        <v>6737.95</v>
      </c>
      <c r="R174" s="8"/>
      <c r="S174" s="8"/>
      <c r="T174" s="8"/>
      <c r="U174" s="8">
        <v>10015.68</v>
      </c>
      <c r="V174" s="8"/>
      <c r="W174" s="46">
        <v>9616</v>
      </c>
      <c r="Y174" s="73">
        <v>9521</v>
      </c>
      <c r="Z174" s="6"/>
      <c r="AA174" s="8">
        <f t="shared" si="249"/>
        <v>10466.92</v>
      </c>
      <c r="AB174" s="8">
        <f t="shared" si="241"/>
        <v>15778</v>
      </c>
      <c r="AC174" s="8">
        <f t="shared" si="242"/>
        <v>6737.95</v>
      </c>
      <c r="AE174" s="8">
        <f t="shared" si="243"/>
        <v>-451.23999999999978</v>
      </c>
      <c r="AF174" s="8">
        <f t="shared" si="244"/>
        <v>-5762.32</v>
      </c>
      <c r="AG174" s="8">
        <f t="shared" si="245"/>
        <v>3277.7300000000005</v>
      </c>
      <c r="AI174" s="8">
        <f t="shared" si="246"/>
        <v>-850.92000000000007</v>
      </c>
      <c r="AJ174" s="8">
        <f t="shared" si="247"/>
        <v>-6162</v>
      </c>
      <c r="AK174" s="8">
        <f t="shared" si="248"/>
        <v>2878.05</v>
      </c>
    </row>
    <row r="175" spans="1:38" s="29" customFormat="1" x14ac:dyDescent="0.2">
      <c r="A175" s="2"/>
      <c r="B175" s="2"/>
      <c r="C175" s="2"/>
      <c r="D175" s="2"/>
      <c r="E175" s="2"/>
      <c r="F175" s="2"/>
      <c r="G175" s="2" t="s">
        <v>138</v>
      </c>
      <c r="H175" s="8"/>
      <c r="I175" s="8"/>
      <c r="J175" s="8"/>
      <c r="K175" s="8"/>
      <c r="L175" s="8"/>
      <c r="M175" s="8">
        <v>7145</v>
      </c>
      <c r="N175" s="8"/>
      <c r="O175" s="8">
        <v>30309.200000000001</v>
      </c>
      <c r="P175" s="8"/>
      <c r="Q175" s="8">
        <v>31894.44</v>
      </c>
      <c r="R175" s="8"/>
      <c r="S175" s="8"/>
      <c r="T175" s="8"/>
      <c r="U175" s="8">
        <v>27081.91</v>
      </c>
      <c r="V175" s="8"/>
      <c r="W175" s="46">
        <v>29436</v>
      </c>
      <c r="Y175" s="73">
        <v>40248</v>
      </c>
      <c r="Z175" s="6"/>
      <c r="AA175" s="8">
        <f t="shared" si="249"/>
        <v>23116.213333333333</v>
      </c>
      <c r="AB175" s="8">
        <f t="shared" si="241"/>
        <v>31894.44</v>
      </c>
      <c r="AC175" s="8">
        <f t="shared" si="242"/>
        <v>7145</v>
      </c>
      <c r="AE175" s="8">
        <f t="shared" si="243"/>
        <v>3965.6966666666667</v>
      </c>
      <c r="AF175" s="8">
        <f t="shared" si="244"/>
        <v>-4812.5299999999988</v>
      </c>
      <c r="AG175" s="8">
        <f t="shared" si="245"/>
        <v>19936.91</v>
      </c>
      <c r="AI175" s="8">
        <f t="shared" si="246"/>
        <v>6319.7866666666669</v>
      </c>
      <c r="AJ175" s="8">
        <f t="shared" si="247"/>
        <v>-2458.4399999999987</v>
      </c>
      <c r="AK175" s="8">
        <f t="shared" si="248"/>
        <v>22291</v>
      </c>
    </row>
    <row r="176" spans="1:38" s="32" customFormat="1" x14ac:dyDescent="0.2">
      <c r="A176" s="2"/>
      <c r="B176" s="2"/>
      <c r="C176" s="2"/>
      <c r="D176" s="2"/>
      <c r="E176" s="2"/>
      <c r="F176" s="2"/>
      <c r="G176" s="2" t="s">
        <v>139</v>
      </c>
      <c r="H176" s="9"/>
      <c r="I176" s="9"/>
      <c r="J176" s="9"/>
      <c r="K176" s="9"/>
      <c r="L176" s="9"/>
      <c r="M176" s="9"/>
      <c r="N176" s="9"/>
      <c r="O176" s="9"/>
      <c r="P176" s="9"/>
      <c r="Q176" s="8">
        <v>1193.6199999999999</v>
      </c>
      <c r="R176" s="9"/>
      <c r="S176" s="9"/>
      <c r="T176" s="9"/>
      <c r="U176" s="8">
        <v>1408.36</v>
      </c>
      <c r="V176" s="9"/>
      <c r="W176" s="50">
        <v>1225</v>
      </c>
      <c r="Y176" s="81">
        <v>1947</v>
      </c>
      <c r="Z176" s="43"/>
      <c r="AA176" s="9">
        <f t="shared" si="249"/>
        <v>1193.6199999999999</v>
      </c>
      <c r="AB176" s="9">
        <f t="shared" si="241"/>
        <v>1193.6199999999999</v>
      </c>
      <c r="AC176" s="9">
        <f t="shared" si="242"/>
        <v>1193.6199999999999</v>
      </c>
      <c r="AD176" s="29"/>
      <c r="AE176" s="9">
        <f t="shared" si="243"/>
        <v>214.74</v>
      </c>
      <c r="AF176" s="9">
        <f t="shared" si="244"/>
        <v>214.74</v>
      </c>
      <c r="AG176" s="9">
        <f t="shared" si="245"/>
        <v>214.74</v>
      </c>
      <c r="AH176" s="29"/>
      <c r="AI176" s="9">
        <f t="shared" si="246"/>
        <v>31.380000000000109</v>
      </c>
      <c r="AJ176" s="9">
        <f t="shared" si="247"/>
        <v>31.380000000000109</v>
      </c>
      <c r="AK176" s="9">
        <f t="shared" si="248"/>
        <v>31.380000000000109</v>
      </c>
    </row>
    <row r="177" spans="1:37" s="29" customFormat="1" ht="10.8" thickBot="1" x14ac:dyDescent="0.25">
      <c r="A177" s="2"/>
      <c r="B177" s="2"/>
      <c r="C177" s="2"/>
      <c r="D177" s="2"/>
      <c r="E177" s="2"/>
      <c r="F177" s="2"/>
      <c r="G177" s="2" t="s">
        <v>310</v>
      </c>
      <c r="H177" s="8"/>
      <c r="I177" s="11"/>
      <c r="J177" s="8"/>
      <c r="K177" s="11"/>
      <c r="L177" s="8"/>
      <c r="M177" s="11"/>
      <c r="N177" s="8"/>
      <c r="O177" s="11"/>
      <c r="P177" s="11"/>
      <c r="Q177" s="11">
        <v>0</v>
      </c>
      <c r="R177" s="9"/>
      <c r="S177" s="9"/>
      <c r="T177" s="8"/>
      <c r="U177" s="11">
        <v>353.13</v>
      </c>
      <c r="V177" s="8"/>
      <c r="W177" s="42">
        <v>365</v>
      </c>
      <c r="Y177" s="74">
        <v>354</v>
      </c>
      <c r="Z177" s="6"/>
      <c r="AA177" s="11">
        <f t="shared" si="249"/>
        <v>0</v>
      </c>
      <c r="AB177" s="11">
        <f t="shared" si="241"/>
        <v>0</v>
      </c>
      <c r="AC177" s="11">
        <f t="shared" si="242"/>
        <v>0</v>
      </c>
      <c r="AE177" s="11">
        <f t="shared" si="243"/>
        <v>353.13</v>
      </c>
      <c r="AF177" s="11">
        <f t="shared" si="244"/>
        <v>353.13</v>
      </c>
      <c r="AG177" s="11">
        <f t="shared" si="245"/>
        <v>353.13</v>
      </c>
      <c r="AI177" s="11">
        <f t="shared" si="246"/>
        <v>365</v>
      </c>
      <c r="AJ177" s="11">
        <f t="shared" si="247"/>
        <v>365</v>
      </c>
      <c r="AK177" s="11">
        <f t="shared" si="248"/>
        <v>365</v>
      </c>
    </row>
    <row r="178" spans="1:37" s="29" customFormat="1" x14ac:dyDescent="0.2">
      <c r="A178" s="2"/>
      <c r="B178" s="2"/>
      <c r="C178" s="2"/>
      <c r="D178" s="2"/>
      <c r="E178" s="2"/>
      <c r="F178" s="2" t="s">
        <v>140</v>
      </c>
      <c r="G178" s="2"/>
      <c r="H178" s="8"/>
      <c r="I178" s="8">
        <f>SUM(I172:I177)</f>
        <v>0</v>
      </c>
      <c r="J178" s="8"/>
      <c r="K178" s="8">
        <f>SUM(K172:K177)</f>
        <v>0</v>
      </c>
      <c r="L178" s="8"/>
      <c r="M178" s="8">
        <f>SUM(M172:M177)</f>
        <v>198752</v>
      </c>
      <c r="N178" s="8"/>
      <c r="O178" s="8">
        <f>SUM(O172:O177)</f>
        <v>142060.09</v>
      </c>
      <c r="P178" s="8"/>
      <c r="Q178" s="8">
        <f>SUM(Q172:Q177)</f>
        <v>119425.29</v>
      </c>
      <c r="R178" s="8"/>
      <c r="S178" s="8"/>
      <c r="T178" s="8"/>
      <c r="U178" s="30">
        <f>SUM(U172:U177)</f>
        <v>141457.94</v>
      </c>
      <c r="V178" s="8"/>
      <c r="W178" s="30">
        <f>SUM(W172:W177)</f>
        <v>166346</v>
      </c>
      <c r="Y178" s="75">
        <f>SUM(Y172:Y177)</f>
        <v>180075</v>
      </c>
      <c r="Z178" s="6"/>
      <c r="AA178" s="8">
        <f>SUM(AA172:AA177)</f>
        <v>154208.20666666667</v>
      </c>
      <c r="AB178" s="8">
        <f>SUM(AB172:AB177)</f>
        <v>224695.06</v>
      </c>
      <c r="AC178" s="8">
        <f>SUM(AC172:AC177)</f>
        <v>94675.849999999991</v>
      </c>
      <c r="AE178" s="8">
        <f>SUM(AE172:AE177)</f>
        <v>-12750.266666666656</v>
      </c>
      <c r="AF178" s="8">
        <f>SUM(AF172:AF177)</f>
        <v>-83237.119999999981</v>
      </c>
      <c r="AG178" s="8">
        <f>SUM(AG172:AG177)</f>
        <v>46782.09</v>
      </c>
      <c r="AI178" s="8">
        <f>SUM(AI172:AI177)</f>
        <v>12137.793333333342</v>
      </c>
      <c r="AJ178" s="8">
        <f>SUM(AJ172:AJ177)</f>
        <v>-58349.060000000005</v>
      </c>
      <c r="AK178" s="8">
        <f>SUM(AK172:AK177)</f>
        <v>71670.150000000009</v>
      </c>
    </row>
    <row r="179" spans="1:37" s="29" customFormat="1" x14ac:dyDescent="0.2">
      <c r="A179" s="2"/>
      <c r="B179" s="2"/>
      <c r="C179" s="2"/>
      <c r="D179" s="2"/>
      <c r="E179" s="2"/>
      <c r="F179" s="51" t="s">
        <v>390</v>
      </c>
      <c r="G179" s="2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Y179" s="77"/>
      <c r="Z179" s="6"/>
      <c r="AA179" s="8"/>
      <c r="AB179" s="8"/>
      <c r="AC179" s="8"/>
      <c r="AE179" s="8"/>
      <c r="AF179" s="8"/>
      <c r="AG179" s="8"/>
      <c r="AI179" s="8"/>
      <c r="AJ179" s="8"/>
      <c r="AK179" s="8"/>
    </row>
    <row r="180" spans="1:37" s="29" customFormat="1" x14ac:dyDescent="0.2">
      <c r="A180" s="2"/>
      <c r="B180" s="2"/>
      <c r="C180" s="2"/>
      <c r="D180" s="2"/>
      <c r="E180" s="2"/>
      <c r="F180" s="2"/>
      <c r="G180" s="2" t="s">
        <v>327</v>
      </c>
      <c r="H180" s="8"/>
      <c r="I180" s="8">
        <v>279488</v>
      </c>
      <c r="J180" s="8"/>
      <c r="K180" s="8">
        <v>282160</v>
      </c>
      <c r="L180" s="8"/>
      <c r="M180" s="8">
        <v>294940</v>
      </c>
      <c r="N180" s="8"/>
      <c r="O180" s="8">
        <v>194658.96</v>
      </c>
      <c r="P180" s="8"/>
      <c r="Q180" s="8">
        <v>202240.85</v>
      </c>
      <c r="R180" s="8"/>
      <c r="S180" s="8"/>
      <c r="T180" s="8"/>
      <c r="U180" s="8">
        <v>160522.79</v>
      </c>
      <c r="V180" s="8"/>
      <c r="W180" s="46">
        <v>169068</v>
      </c>
      <c r="Y180" s="73">
        <v>212040</v>
      </c>
      <c r="Z180" s="6"/>
      <c r="AA180" s="8">
        <f t="shared" ref="AA180:AA183" si="250">AVERAGE(I180:Q180)</f>
        <v>250697.56200000001</v>
      </c>
      <c r="AB180" s="8">
        <f t="shared" ref="AB180:AB183" si="251">MAX(I180:Q180)</f>
        <v>294940</v>
      </c>
      <c r="AC180" s="8">
        <f t="shared" ref="AC180:AC183" si="252">MIN(I180:Q180)</f>
        <v>194658.96</v>
      </c>
      <c r="AE180" s="8">
        <f t="shared" ref="AE180:AE183" si="253">+U180-AA180</f>
        <v>-90174.771999999997</v>
      </c>
      <c r="AF180" s="8">
        <f t="shared" ref="AF180:AF183" si="254">+U180-AB180</f>
        <v>-134417.21</v>
      </c>
      <c r="AG180" s="8">
        <f t="shared" ref="AG180:AG183" si="255">+U180-AC180</f>
        <v>-34136.169999999984</v>
      </c>
      <c r="AI180" s="8">
        <f t="shared" ref="AI180:AI183" si="256">+W180-AA180</f>
        <v>-81629.562000000005</v>
      </c>
      <c r="AJ180" s="8">
        <f t="shared" ref="AJ180:AJ183" si="257">+W180-AB180</f>
        <v>-125872</v>
      </c>
      <c r="AK180" s="8">
        <f t="shared" ref="AK180:AK183" si="258">+W180-AC180</f>
        <v>-25590.959999999992</v>
      </c>
    </row>
    <row r="181" spans="1:37" s="29" customFormat="1" x14ac:dyDescent="0.2">
      <c r="A181" s="2"/>
      <c r="B181" s="2"/>
      <c r="C181" s="2"/>
      <c r="D181" s="2"/>
      <c r="E181" s="2"/>
      <c r="F181" s="2"/>
      <c r="G181" s="2" t="s">
        <v>141</v>
      </c>
      <c r="H181" s="8"/>
      <c r="I181" s="8">
        <v>29118</v>
      </c>
      <c r="J181" s="8"/>
      <c r="K181" s="8">
        <v>26800</v>
      </c>
      <c r="L181" s="8"/>
      <c r="M181" s="8">
        <v>28654</v>
      </c>
      <c r="N181" s="8"/>
      <c r="O181" s="8">
        <v>18160.48</v>
      </c>
      <c r="P181" s="8"/>
      <c r="Q181" s="8">
        <v>20085.45</v>
      </c>
      <c r="R181" s="8"/>
      <c r="S181" s="8"/>
      <c r="T181" s="8"/>
      <c r="U181" s="8">
        <v>14817.74</v>
      </c>
      <c r="V181" s="8"/>
      <c r="W181" s="46">
        <v>12934</v>
      </c>
      <c r="Y181" s="73">
        <v>16222</v>
      </c>
      <c r="Z181" s="6"/>
      <c r="AA181" s="8">
        <f t="shared" si="250"/>
        <v>24563.585999999999</v>
      </c>
      <c r="AB181" s="8">
        <f t="shared" si="251"/>
        <v>29118</v>
      </c>
      <c r="AC181" s="8">
        <f t="shared" si="252"/>
        <v>18160.48</v>
      </c>
      <c r="AE181" s="8">
        <f t="shared" si="253"/>
        <v>-9745.8459999999995</v>
      </c>
      <c r="AF181" s="8">
        <f t="shared" si="254"/>
        <v>-14300.26</v>
      </c>
      <c r="AG181" s="8">
        <f t="shared" si="255"/>
        <v>-3342.74</v>
      </c>
      <c r="AI181" s="8">
        <f t="shared" si="256"/>
        <v>-11629.585999999999</v>
      </c>
      <c r="AJ181" s="8">
        <f t="shared" si="257"/>
        <v>-16184</v>
      </c>
      <c r="AK181" s="8">
        <f t="shared" si="258"/>
        <v>-5226.4799999999996</v>
      </c>
    </row>
    <row r="182" spans="1:37" s="32" customFormat="1" x14ac:dyDescent="0.2">
      <c r="A182" s="2"/>
      <c r="B182" s="2"/>
      <c r="C182" s="2"/>
      <c r="D182" s="2"/>
      <c r="E182" s="2"/>
      <c r="F182" s="2"/>
      <c r="G182" s="2" t="s">
        <v>142</v>
      </c>
      <c r="H182" s="9"/>
      <c r="I182" s="9">
        <v>3133</v>
      </c>
      <c r="J182" s="9"/>
      <c r="K182" s="9">
        <v>2138</v>
      </c>
      <c r="L182" s="9"/>
      <c r="M182" s="9">
        <v>3660</v>
      </c>
      <c r="N182" s="9"/>
      <c r="O182" s="9">
        <v>1031.3599999999999</v>
      </c>
      <c r="P182" s="9"/>
      <c r="Q182" s="8">
        <v>4635.75</v>
      </c>
      <c r="R182" s="9"/>
      <c r="S182" s="9"/>
      <c r="T182" s="9"/>
      <c r="U182" s="8">
        <v>2900.29</v>
      </c>
      <c r="V182" s="9"/>
      <c r="W182" s="50">
        <v>3000</v>
      </c>
      <c r="Y182" s="81">
        <v>4000</v>
      </c>
      <c r="Z182" s="43"/>
      <c r="AA182" s="9">
        <f t="shared" si="250"/>
        <v>2919.6220000000003</v>
      </c>
      <c r="AB182" s="9">
        <f t="shared" si="251"/>
        <v>4635.75</v>
      </c>
      <c r="AC182" s="9">
        <f t="shared" si="252"/>
        <v>1031.3599999999999</v>
      </c>
      <c r="AD182" s="29"/>
      <c r="AE182" s="9">
        <f t="shared" si="253"/>
        <v>-19.332000000000335</v>
      </c>
      <c r="AF182" s="9">
        <f t="shared" si="254"/>
        <v>-1735.46</v>
      </c>
      <c r="AG182" s="9">
        <f t="shared" si="255"/>
        <v>1868.93</v>
      </c>
      <c r="AH182" s="29"/>
      <c r="AI182" s="9">
        <f t="shared" si="256"/>
        <v>80.377999999999702</v>
      </c>
      <c r="AJ182" s="9">
        <f t="shared" si="257"/>
        <v>-1635.75</v>
      </c>
      <c r="AK182" s="9">
        <f t="shared" si="258"/>
        <v>1968.64</v>
      </c>
    </row>
    <row r="183" spans="1:37" s="29" customFormat="1" ht="10.8" thickBot="1" x14ac:dyDescent="0.25">
      <c r="A183" s="2"/>
      <c r="B183" s="2"/>
      <c r="C183" s="2"/>
      <c r="D183" s="2"/>
      <c r="E183" s="2"/>
      <c r="F183" s="2"/>
      <c r="G183" s="2" t="s">
        <v>309</v>
      </c>
      <c r="H183" s="8"/>
      <c r="I183" s="11"/>
      <c r="J183" s="8"/>
      <c r="K183" s="11"/>
      <c r="L183" s="8"/>
      <c r="M183" s="11"/>
      <c r="N183" s="8"/>
      <c r="O183" s="11"/>
      <c r="P183" s="11"/>
      <c r="Q183" s="11">
        <v>0</v>
      </c>
      <c r="R183" s="9"/>
      <c r="S183" s="9"/>
      <c r="T183" s="8"/>
      <c r="U183" s="11">
        <v>10183.790000000001</v>
      </c>
      <c r="V183" s="8"/>
      <c r="W183" s="42">
        <v>10525</v>
      </c>
      <c r="Y183" s="74">
        <v>14590</v>
      </c>
      <c r="Z183" s="6"/>
      <c r="AA183" s="11">
        <f t="shared" si="250"/>
        <v>0</v>
      </c>
      <c r="AB183" s="11">
        <f t="shared" si="251"/>
        <v>0</v>
      </c>
      <c r="AC183" s="11">
        <f t="shared" si="252"/>
        <v>0</v>
      </c>
      <c r="AE183" s="11">
        <f t="shared" si="253"/>
        <v>10183.790000000001</v>
      </c>
      <c r="AF183" s="11">
        <f t="shared" si="254"/>
        <v>10183.790000000001</v>
      </c>
      <c r="AG183" s="11">
        <f t="shared" si="255"/>
        <v>10183.790000000001</v>
      </c>
      <c r="AI183" s="11">
        <f t="shared" si="256"/>
        <v>10525</v>
      </c>
      <c r="AJ183" s="11">
        <f t="shared" si="257"/>
        <v>10525</v>
      </c>
      <c r="AK183" s="11">
        <f t="shared" si="258"/>
        <v>10525</v>
      </c>
    </row>
    <row r="184" spans="1:37" s="29" customFormat="1" x14ac:dyDescent="0.2">
      <c r="A184" s="2"/>
      <c r="B184" s="2"/>
      <c r="C184" s="2"/>
      <c r="D184" s="2"/>
      <c r="E184" s="2"/>
      <c r="F184" s="2" t="s">
        <v>143</v>
      </c>
      <c r="G184" s="2"/>
      <c r="H184" s="8"/>
      <c r="I184" s="8">
        <f>SUM(I180:I183)</f>
        <v>311739</v>
      </c>
      <c r="J184" s="8"/>
      <c r="K184" s="8">
        <f>SUM(K180:K183)</f>
        <v>311098</v>
      </c>
      <c r="L184" s="8"/>
      <c r="M184" s="8">
        <f>SUM(M180:M183)</f>
        <v>327254</v>
      </c>
      <c r="N184" s="8"/>
      <c r="O184" s="8">
        <f>SUM(O180:O183)</f>
        <v>213850.8</v>
      </c>
      <c r="P184" s="8"/>
      <c r="Q184" s="8">
        <f>SUM(Q180:Q183)</f>
        <v>226962.05000000002</v>
      </c>
      <c r="R184" s="8"/>
      <c r="S184" s="8"/>
      <c r="T184" s="8"/>
      <c r="U184" s="38">
        <f>SUM(U180:U183)</f>
        <v>188424.61000000002</v>
      </c>
      <c r="V184" s="8"/>
      <c r="W184" s="38">
        <f>SUM(W180:W183)</f>
        <v>195527</v>
      </c>
      <c r="Y184" s="75">
        <f>SUM(Y180:Y183)</f>
        <v>246852</v>
      </c>
      <c r="AA184" s="8">
        <f>SUM(AA180:AA183)</f>
        <v>278180.76999999996</v>
      </c>
      <c r="AB184" s="8">
        <f>SUM(AB180:AB183)</f>
        <v>328693.75</v>
      </c>
      <c r="AC184" s="8">
        <f>SUM(AC180:AC183)</f>
        <v>213850.8</v>
      </c>
      <c r="AE184" s="8">
        <f>SUM(AE180:AE183)</f>
        <v>-89756.160000000003</v>
      </c>
      <c r="AF184" s="8">
        <f>SUM(AF180:AF183)</f>
        <v>-140269.13999999998</v>
      </c>
      <c r="AG184" s="8">
        <f>SUM(AG180:AG183)</f>
        <v>-25426.189999999981</v>
      </c>
      <c r="AI184" s="8">
        <f>SUM(AI180:AI183)</f>
        <v>-82653.77</v>
      </c>
      <c r="AJ184" s="8">
        <f>SUM(AJ180:AJ183)</f>
        <v>-133166.75</v>
      </c>
      <c r="AK184" s="8">
        <f>SUM(AK180:AK183)</f>
        <v>-18323.799999999992</v>
      </c>
    </row>
    <row r="185" spans="1:37" s="29" customFormat="1" x14ac:dyDescent="0.2">
      <c r="A185" s="2"/>
      <c r="B185" s="2"/>
      <c r="C185" s="2"/>
      <c r="D185" s="2"/>
      <c r="E185" s="2"/>
      <c r="F185" s="2" t="s">
        <v>144</v>
      </c>
      <c r="G185" s="2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Y185" s="77"/>
      <c r="AA185" s="8"/>
      <c r="AB185" s="8"/>
      <c r="AC185" s="8"/>
      <c r="AE185" s="8"/>
      <c r="AF185" s="8"/>
      <c r="AG185" s="8"/>
      <c r="AI185" s="8"/>
      <c r="AJ185" s="8"/>
      <c r="AK185" s="8"/>
    </row>
    <row r="186" spans="1:37" s="29" customFormat="1" x14ac:dyDescent="0.2">
      <c r="A186" s="2"/>
      <c r="B186" s="2"/>
      <c r="C186" s="2"/>
      <c r="D186" s="2"/>
      <c r="E186" s="2"/>
      <c r="F186" s="2"/>
      <c r="G186" s="2" t="s">
        <v>145</v>
      </c>
      <c r="H186" s="8"/>
      <c r="I186" s="8">
        <v>22841</v>
      </c>
      <c r="J186" s="8"/>
      <c r="K186" s="8">
        <v>21951</v>
      </c>
      <c r="L186" s="8"/>
      <c r="M186" s="8">
        <v>19097</v>
      </c>
      <c r="N186" s="8"/>
      <c r="O186" s="8">
        <f>14128.44+5653.64</f>
        <v>19782.080000000002</v>
      </c>
      <c r="P186" s="8"/>
      <c r="Q186" s="8">
        <v>20010.419999999998</v>
      </c>
      <c r="R186" s="8"/>
      <c r="S186" s="8"/>
      <c r="T186" s="8"/>
      <c r="U186" s="8">
        <v>21025.01</v>
      </c>
      <c r="V186" s="8"/>
      <c r="W186" s="47">
        <v>24000</v>
      </c>
      <c r="Y186" s="73">
        <v>24000</v>
      </c>
      <c r="AA186" s="8">
        <f t="shared" ref="AA186:AA189" si="259">AVERAGE(I186:Q186)</f>
        <v>20736.3</v>
      </c>
      <c r="AB186" s="8">
        <f t="shared" ref="AB186:AB189" si="260">MAX(I186:Q186)</f>
        <v>22841</v>
      </c>
      <c r="AC186" s="8">
        <f t="shared" ref="AC186:AC189" si="261">MIN(I186:Q186)</f>
        <v>19097</v>
      </c>
      <c r="AE186" s="8">
        <f t="shared" ref="AE186:AE189" si="262">+U186-AA186</f>
        <v>288.70999999999913</v>
      </c>
      <c r="AF186" s="8">
        <f t="shared" ref="AF186:AF189" si="263">+U186-AB186</f>
        <v>-1815.9900000000016</v>
      </c>
      <c r="AG186" s="8">
        <f t="shared" ref="AG186:AG189" si="264">+U186-AC186</f>
        <v>1928.0099999999984</v>
      </c>
      <c r="AI186" s="8">
        <f t="shared" ref="AI186:AI189" si="265">+W186-AA186</f>
        <v>3263.7000000000007</v>
      </c>
      <c r="AJ186" s="8">
        <f t="shared" ref="AJ186:AJ189" si="266">+W186-AB186</f>
        <v>1159</v>
      </c>
      <c r="AK186" s="8">
        <f t="shared" ref="AK186:AK189" si="267">+W186-AC186</f>
        <v>4903</v>
      </c>
    </row>
    <row r="187" spans="1:37" s="29" customFormat="1" x14ac:dyDescent="0.2">
      <c r="A187" s="2"/>
      <c r="B187" s="2"/>
      <c r="C187" s="2"/>
      <c r="D187" s="2"/>
      <c r="E187" s="2"/>
      <c r="F187" s="2"/>
      <c r="G187" s="2" t="s">
        <v>146</v>
      </c>
      <c r="H187" s="8"/>
      <c r="I187" s="8"/>
      <c r="J187" s="8"/>
      <c r="K187" s="8"/>
      <c r="L187" s="8"/>
      <c r="M187" s="8"/>
      <c r="N187" s="8"/>
      <c r="O187" s="8"/>
      <c r="P187" s="8"/>
      <c r="Q187" s="8">
        <v>2550</v>
      </c>
      <c r="R187" s="8"/>
      <c r="S187" s="8"/>
      <c r="T187" s="8"/>
      <c r="U187" s="8">
        <v>2200</v>
      </c>
      <c r="V187" s="8"/>
      <c r="W187" s="47">
        <v>2600</v>
      </c>
      <c r="Y187" s="73">
        <v>2600</v>
      </c>
      <c r="AA187" s="8">
        <f t="shared" si="259"/>
        <v>2550</v>
      </c>
      <c r="AB187" s="8">
        <f t="shared" si="260"/>
        <v>2550</v>
      </c>
      <c r="AC187" s="8">
        <f t="shared" si="261"/>
        <v>2550</v>
      </c>
      <c r="AE187" s="8">
        <f t="shared" si="262"/>
        <v>-350</v>
      </c>
      <c r="AF187" s="8">
        <f t="shared" si="263"/>
        <v>-350</v>
      </c>
      <c r="AG187" s="8">
        <f t="shared" si="264"/>
        <v>-350</v>
      </c>
      <c r="AI187" s="8">
        <f t="shared" si="265"/>
        <v>50</v>
      </c>
      <c r="AJ187" s="8">
        <f t="shared" si="266"/>
        <v>50</v>
      </c>
      <c r="AK187" s="8">
        <f t="shared" si="267"/>
        <v>50</v>
      </c>
    </row>
    <row r="188" spans="1:37" s="29" customFormat="1" x14ac:dyDescent="0.2">
      <c r="A188" s="2"/>
      <c r="B188" s="2"/>
      <c r="C188" s="2"/>
      <c r="D188" s="2"/>
      <c r="E188" s="2"/>
      <c r="F188" s="2"/>
      <c r="G188" s="2" t="s">
        <v>147</v>
      </c>
      <c r="H188" s="8"/>
      <c r="I188" s="8"/>
      <c r="J188" s="8"/>
      <c r="K188" s="8"/>
      <c r="L188" s="8"/>
      <c r="M188" s="8"/>
      <c r="N188" s="8"/>
      <c r="O188" s="8"/>
      <c r="P188" s="8"/>
      <c r="Q188" s="8">
        <v>199</v>
      </c>
      <c r="R188" s="8"/>
      <c r="S188" s="8"/>
      <c r="T188" s="8"/>
      <c r="U188" s="8">
        <v>205.5</v>
      </c>
      <c r="V188" s="8"/>
      <c r="W188" s="47">
        <v>500</v>
      </c>
      <c r="Y188" s="73">
        <v>500</v>
      </c>
      <c r="AA188" s="8">
        <f t="shared" si="259"/>
        <v>199</v>
      </c>
      <c r="AB188" s="8">
        <f t="shared" si="260"/>
        <v>199</v>
      </c>
      <c r="AC188" s="8">
        <f t="shared" si="261"/>
        <v>199</v>
      </c>
      <c r="AE188" s="8">
        <f t="shared" si="262"/>
        <v>6.5</v>
      </c>
      <c r="AF188" s="8">
        <f t="shared" si="263"/>
        <v>6.5</v>
      </c>
      <c r="AG188" s="8">
        <f t="shared" si="264"/>
        <v>6.5</v>
      </c>
      <c r="AI188" s="8">
        <f t="shared" si="265"/>
        <v>301</v>
      </c>
      <c r="AJ188" s="8">
        <f t="shared" si="266"/>
        <v>301</v>
      </c>
      <c r="AK188" s="8">
        <f t="shared" si="267"/>
        <v>301</v>
      </c>
    </row>
    <row r="189" spans="1:37" s="29" customFormat="1" ht="10.8" thickBot="1" x14ac:dyDescent="0.25">
      <c r="A189" s="2"/>
      <c r="B189" s="2"/>
      <c r="C189" s="2"/>
      <c r="D189" s="2"/>
      <c r="E189" s="2"/>
      <c r="F189" s="2"/>
      <c r="G189" s="2" t="s">
        <v>148</v>
      </c>
      <c r="H189" s="8"/>
      <c r="I189" s="11">
        <v>4037</v>
      </c>
      <c r="J189" s="8"/>
      <c r="K189" s="11">
        <v>7066</v>
      </c>
      <c r="L189" s="8"/>
      <c r="M189" s="11">
        <v>6566</v>
      </c>
      <c r="N189" s="8"/>
      <c r="O189" s="11">
        <v>10838.78</v>
      </c>
      <c r="P189" s="11"/>
      <c r="Q189" s="11">
        <v>2972.69</v>
      </c>
      <c r="R189" s="9"/>
      <c r="S189" s="9"/>
      <c r="T189" s="8"/>
      <c r="U189" s="11">
        <v>4257.8</v>
      </c>
      <c r="V189" s="8"/>
      <c r="W189" s="39">
        <v>6000</v>
      </c>
      <c r="Y189" s="74">
        <v>6000</v>
      </c>
      <c r="AA189" s="11">
        <f t="shared" si="259"/>
        <v>6296.0939999999991</v>
      </c>
      <c r="AB189" s="11">
        <f t="shared" si="260"/>
        <v>10838.78</v>
      </c>
      <c r="AC189" s="11">
        <f t="shared" si="261"/>
        <v>2972.69</v>
      </c>
      <c r="AE189" s="11">
        <f t="shared" si="262"/>
        <v>-2038.293999999999</v>
      </c>
      <c r="AF189" s="11">
        <f t="shared" si="263"/>
        <v>-6580.9800000000005</v>
      </c>
      <c r="AG189" s="11">
        <f t="shared" si="264"/>
        <v>1285.1100000000001</v>
      </c>
      <c r="AI189" s="11">
        <f t="shared" si="265"/>
        <v>-296.09399999999914</v>
      </c>
      <c r="AJ189" s="11">
        <f t="shared" si="266"/>
        <v>-4838.7800000000007</v>
      </c>
      <c r="AK189" s="11">
        <f t="shared" si="267"/>
        <v>3027.31</v>
      </c>
    </row>
    <row r="190" spans="1:37" s="29" customFormat="1" x14ac:dyDescent="0.2">
      <c r="A190" s="2"/>
      <c r="B190" s="2"/>
      <c r="C190" s="2"/>
      <c r="D190" s="2"/>
      <c r="E190" s="2"/>
      <c r="F190" s="2" t="s">
        <v>149</v>
      </c>
      <c r="G190" s="2"/>
      <c r="H190" s="8"/>
      <c r="I190" s="8">
        <f>ROUND(SUM(I185:I189),5)</f>
        <v>26878</v>
      </c>
      <c r="J190" s="8"/>
      <c r="K190" s="8">
        <f>ROUND(SUM(K185:K189),5)</f>
        <v>29017</v>
      </c>
      <c r="L190" s="8"/>
      <c r="M190" s="8">
        <f>ROUND(SUM(M185:M189),5)</f>
        <v>25663</v>
      </c>
      <c r="N190" s="8"/>
      <c r="O190" s="8">
        <f>ROUND(SUM(O185:O189),5)</f>
        <v>30620.86</v>
      </c>
      <c r="P190" s="8"/>
      <c r="Q190" s="8">
        <f>ROUND(SUM(Q185:Q189),5)</f>
        <v>25732.11</v>
      </c>
      <c r="R190" s="8"/>
      <c r="S190" s="8"/>
      <c r="T190" s="8"/>
      <c r="U190" s="31">
        <f>ROUND(SUM(U185:U189),5)</f>
        <v>27688.31</v>
      </c>
      <c r="V190" s="8"/>
      <c r="W190" s="31">
        <f>SUM(W186:W189)</f>
        <v>33100</v>
      </c>
      <c r="Y190" s="75">
        <f>ROUND(SUM(Y185:Y189),5)</f>
        <v>33100</v>
      </c>
      <c r="AA190" s="8">
        <f t="shared" ref="AA190:AC190" si="268">ROUND(SUM(AA185:AA189),5)</f>
        <v>29781.394</v>
      </c>
      <c r="AB190" s="8">
        <f t="shared" si="268"/>
        <v>36428.78</v>
      </c>
      <c r="AC190" s="8">
        <f t="shared" si="268"/>
        <v>24818.69</v>
      </c>
      <c r="AE190" s="8">
        <f t="shared" ref="AE190" si="269">ROUND(SUM(AE185:AE189),5)</f>
        <v>-2093.0839999999998</v>
      </c>
      <c r="AF190" s="8">
        <f t="shared" ref="AF190" si="270">ROUND(SUM(AF185:AF189),5)</f>
        <v>-8740.4699999999993</v>
      </c>
      <c r="AG190" s="8">
        <f t="shared" ref="AG190" si="271">ROUND(SUM(AG185:AG189),5)</f>
        <v>2869.62</v>
      </c>
      <c r="AI190" s="8">
        <f t="shared" ref="AI190:AK190" si="272">ROUND(SUM(AI185:AI189),5)</f>
        <v>3318.6060000000002</v>
      </c>
      <c r="AJ190" s="8">
        <f t="shared" si="272"/>
        <v>-3328.78</v>
      </c>
      <c r="AK190" s="8">
        <f t="shared" si="272"/>
        <v>8281.31</v>
      </c>
    </row>
    <row r="191" spans="1:37" s="29" customFormat="1" x14ac:dyDescent="0.2">
      <c r="A191" s="2"/>
      <c r="B191" s="2"/>
      <c r="C191" s="2"/>
      <c r="D191" s="2"/>
      <c r="E191" s="2"/>
      <c r="F191" s="2" t="s">
        <v>150</v>
      </c>
      <c r="G191" s="2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Y191" s="77"/>
      <c r="AA191" s="8"/>
      <c r="AB191" s="8"/>
      <c r="AC191" s="8"/>
      <c r="AE191" s="8"/>
      <c r="AF191" s="8"/>
      <c r="AG191" s="8"/>
      <c r="AI191" s="8"/>
      <c r="AJ191" s="8"/>
      <c r="AK191" s="8"/>
    </row>
    <row r="192" spans="1:37" s="29" customFormat="1" x14ac:dyDescent="0.2">
      <c r="A192" s="2"/>
      <c r="B192" s="2"/>
      <c r="C192" s="2"/>
      <c r="D192" s="2"/>
      <c r="E192" s="2"/>
      <c r="F192" s="2"/>
      <c r="G192" s="2" t="s">
        <v>151</v>
      </c>
      <c r="H192" s="8"/>
      <c r="I192" s="8">
        <v>36523</v>
      </c>
      <c r="J192" s="8"/>
      <c r="K192" s="8">
        <v>26092</v>
      </c>
      <c r="L192" s="8"/>
      <c r="M192" s="8">
        <v>18806</v>
      </c>
      <c r="N192" s="8"/>
      <c r="O192" s="8">
        <v>25293.56</v>
      </c>
      <c r="P192" s="8"/>
      <c r="Q192" s="8">
        <v>27467.61</v>
      </c>
      <c r="R192" s="8"/>
      <c r="S192" s="8"/>
      <c r="T192" s="8"/>
      <c r="U192" s="8">
        <v>23010.85</v>
      </c>
      <c r="V192" s="8"/>
      <c r="W192" s="46">
        <v>26000</v>
      </c>
      <c r="Y192" s="88">
        <v>26000</v>
      </c>
      <c r="AA192" s="8">
        <f t="shared" ref="AA192:AA194" si="273">AVERAGE(I192:Q192)</f>
        <v>26836.433999999997</v>
      </c>
      <c r="AB192" s="8">
        <f t="shared" ref="AB192:AB194" si="274">MAX(I192:Q192)</f>
        <v>36523</v>
      </c>
      <c r="AC192" s="8">
        <f t="shared" ref="AC192:AC194" si="275">MIN(I192:Q192)</f>
        <v>18806</v>
      </c>
      <c r="AE192" s="8">
        <f t="shared" ref="AE192:AE194" si="276">+U192-AA192</f>
        <v>-3825.5839999999989</v>
      </c>
      <c r="AF192" s="8">
        <f t="shared" ref="AF192:AF194" si="277">+U192-AB192</f>
        <v>-13512.150000000001</v>
      </c>
      <c r="AG192" s="8">
        <f t="shared" ref="AG192:AG194" si="278">+U192-AC192</f>
        <v>4204.8499999999985</v>
      </c>
      <c r="AI192" s="8">
        <f t="shared" ref="AI192:AI194" si="279">+W192-AA192</f>
        <v>-836.43399999999747</v>
      </c>
      <c r="AJ192" s="8">
        <f t="shared" ref="AJ192:AJ194" si="280">+W192-AB192</f>
        <v>-10523</v>
      </c>
      <c r="AK192" s="8">
        <f t="shared" ref="AK192:AK194" si="281">+W192-AC192</f>
        <v>7194</v>
      </c>
    </row>
    <row r="193" spans="1:37" s="29" customFormat="1" x14ac:dyDescent="0.2">
      <c r="A193" s="2"/>
      <c r="B193" s="2"/>
      <c r="C193" s="2"/>
      <c r="D193" s="2"/>
      <c r="E193" s="2"/>
      <c r="F193" s="2"/>
      <c r="G193" s="2" t="s">
        <v>360</v>
      </c>
      <c r="H193" s="8"/>
      <c r="I193" s="8"/>
      <c r="J193" s="8"/>
      <c r="K193" s="8"/>
      <c r="L193" s="8"/>
      <c r="M193" s="8"/>
      <c r="N193" s="8"/>
      <c r="O193" s="8"/>
      <c r="P193" s="8"/>
      <c r="Q193" s="8">
        <v>25</v>
      </c>
      <c r="R193" s="8"/>
      <c r="S193" s="8"/>
      <c r="T193" s="8"/>
      <c r="U193" s="8">
        <v>63.04</v>
      </c>
      <c r="V193" s="8"/>
      <c r="W193" s="46"/>
      <c r="Y193" s="79"/>
      <c r="AA193" s="8"/>
      <c r="AB193" s="8"/>
      <c r="AC193" s="8"/>
      <c r="AE193" s="8"/>
      <c r="AF193" s="8"/>
      <c r="AG193" s="8"/>
      <c r="AI193" s="8"/>
      <c r="AJ193" s="8"/>
      <c r="AK193" s="8"/>
    </row>
    <row r="194" spans="1:37" s="29" customFormat="1" ht="10.8" thickBot="1" x14ac:dyDescent="0.25">
      <c r="A194" s="2"/>
      <c r="B194" s="2"/>
      <c r="C194" s="2"/>
      <c r="D194" s="2"/>
      <c r="E194" s="2"/>
      <c r="F194" s="2"/>
      <c r="G194" s="2" t="s">
        <v>152</v>
      </c>
      <c r="H194" s="8"/>
      <c r="I194" s="11">
        <v>9498</v>
      </c>
      <c r="J194" s="8"/>
      <c r="K194" s="11">
        <v>15591</v>
      </c>
      <c r="L194" s="8"/>
      <c r="M194" s="11">
        <v>11395</v>
      </c>
      <c r="N194" s="8"/>
      <c r="O194" s="11">
        <v>11954.8</v>
      </c>
      <c r="P194" s="11"/>
      <c r="Q194" s="11">
        <v>30282.48</v>
      </c>
      <c r="R194" s="9"/>
      <c r="S194" s="9"/>
      <c r="T194" s="8"/>
      <c r="U194" s="11">
        <v>19325.400000000001</v>
      </c>
      <c r="V194" s="8"/>
      <c r="W194" s="39">
        <v>12000</v>
      </c>
      <c r="Y194" s="74">
        <v>15000</v>
      </c>
      <c r="AA194" s="11">
        <f t="shared" si="273"/>
        <v>15744.255999999999</v>
      </c>
      <c r="AB194" s="11">
        <f t="shared" si="274"/>
        <v>30282.48</v>
      </c>
      <c r="AC194" s="11">
        <f t="shared" si="275"/>
        <v>9498</v>
      </c>
      <c r="AE194" s="11">
        <f t="shared" si="276"/>
        <v>3581.1440000000021</v>
      </c>
      <c r="AF194" s="11">
        <f t="shared" si="277"/>
        <v>-10957.079999999998</v>
      </c>
      <c r="AG194" s="11">
        <f t="shared" si="278"/>
        <v>9827.4000000000015</v>
      </c>
      <c r="AI194" s="11">
        <f t="shared" si="279"/>
        <v>-3744.2559999999994</v>
      </c>
      <c r="AJ194" s="11">
        <f t="shared" si="280"/>
        <v>-18282.48</v>
      </c>
      <c r="AK194" s="11">
        <f t="shared" si="281"/>
        <v>2502</v>
      </c>
    </row>
    <row r="195" spans="1:37" s="29" customFormat="1" x14ac:dyDescent="0.2">
      <c r="A195" s="2"/>
      <c r="B195" s="2"/>
      <c r="C195" s="2"/>
      <c r="D195" s="2"/>
      <c r="E195" s="2"/>
      <c r="F195" s="2" t="s">
        <v>153</v>
      </c>
      <c r="G195" s="2"/>
      <c r="H195" s="8"/>
      <c r="I195" s="8">
        <f>ROUND(SUM(I191:I194),5)</f>
        <v>46021</v>
      </c>
      <c r="J195" s="8"/>
      <c r="K195" s="8">
        <f>ROUND(SUM(K191:K194),5)</f>
        <v>41683</v>
      </c>
      <c r="L195" s="8"/>
      <c r="M195" s="8">
        <f>ROUND(SUM(M191:M194),5)</f>
        <v>30201</v>
      </c>
      <c r="N195" s="8"/>
      <c r="O195" s="8">
        <f>ROUND(SUM(O191:O194),5)</f>
        <v>37248.36</v>
      </c>
      <c r="P195" s="8"/>
      <c r="Q195" s="8">
        <f>ROUND(SUM(Q191:Q194),5)</f>
        <v>57775.09</v>
      </c>
      <c r="R195" s="8"/>
      <c r="S195" s="8"/>
      <c r="T195" s="8"/>
      <c r="U195" s="30">
        <f>ROUND(SUM(U191:U194),5)</f>
        <v>42399.29</v>
      </c>
      <c r="V195" s="8"/>
      <c r="W195" s="30">
        <f>SUM(W192:W194)</f>
        <v>38000</v>
      </c>
      <c r="Y195" s="75">
        <f>ROUND(SUM(Y191:Y194),5)</f>
        <v>41000</v>
      </c>
      <c r="AA195" s="8">
        <f t="shared" ref="AA195:AC195" si="282">ROUND(SUM(AA191:AA194),5)</f>
        <v>42580.69</v>
      </c>
      <c r="AB195" s="8">
        <f t="shared" si="282"/>
        <v>66805.48</v>
      </c>
      <c r="AC195" s="8">
        <f t="shared" si="282"/>
        <v>28304</v>
      </c>
      <c r="AE195" s="8">
        <f t="shared" ref="AE195" si="283">ROUND(SUM(AE191:AE194),5)</f>
        <v>-244.44</v>
      </c>
      <c r="AF195" s="8">
        <f t="shared" ref="AF195" si="284">ROUND(SUM(AF191:AF194),5)</f>
        <v>-24469.23</v>
      </c>
      <c r="AG195" s="8">
        <f t="shared" ref="AG195" si="285">ROUND(SUM(AG191:AG194),5)</f>
        <v>14032.25</v>
      </c>
      <c r="AI195" s="8">
        <f t="shared" ref="AI195:AK195" si="286">ROUND(SUM(AI191:AI194),5)</f>
        <v>-4580.6899999999996</v>
      </c>
      <c r="AJ195" s="8">
        <f t="shared" si="286"/>
        <v>-28805.48</v>
      </c>
      <c r="AK195" s="8">
        <f t="shared" si="286"/>
        <v>9696</v>
      </c>
    </row>
    <row r="196" spans="1:37" s="29" customFormat="1" x14ac:dyDescent="0.2">
      <c r="A196" s="2"/>
      <c r="B196" s="2"/>
      <c r="C196" s="2"/>
      <c r="D196" s="2"/>
      <c r="E196" s="2"/>
      <c r="F196" s="2" t="s">
        <v>154</v>
      </c>
      <c r="G196" s="2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Y196" s="8"/>
      <c r="AA196" s="8"/>
      <c r="AB196" s="8"/>
      <c r="AC196" s="8"/>
      <c r="AE196" s="8"/>
      <c r="AF196" s="8"/>
      <c r="AG196" s="8"/>
      <c r="AI196" s="8"/>
      <c r="AJ196" s="8"/>
      <c r="AK196" s="8"/>
    </row>
    <row r="197" spans="1:37" s="29" customFormat="1" x14ac:dyDescent="0.2">
      <c r="A197" s="2"/>
      <c r="B197" s="2"/>
      <c r="C197" s="2"/>
      <c r="D197" s="2"/>
      <c r="E197" s="2"/>
      <c r="F197" s="2"/>
      <c r="G197" s="2" t="s">
        <v>155</v>
      </c>
      <c r="H197" s="8"/>
      <c r="I197" s="8">
        <v>1338</v>
      </c>
      <c r="J197" s="8"/>
      <c r="K197" s="8">
        <v>2219</v>
      </c>
      <c r="L197" s="8"/>
      <c r="M197" s="8">
        <v>905</v>
      </c>
      <c r="N197" s="8"/>
      <c r="O197" s="8">
        <v>1202.6300000000001</v>
      </c>
      <c r="P197" s="8"/>
      <c r="Q197" s="8">
        <v>1150.3399999999999</v>
      </c>
      <c r="R197" s="8"/>
      <c r="S197" s="8"/>
      <c r="T197" s="8"/>
      <c r="U197" s="8">
        <v>1592.69</v>
      </c>
      <c r="V197" s="8"/>
      <c r="W197" s="47">
        <v>1000</v>
      </c>
      <c r="Y197" s="73">
        <v>1500</v>
      </c>
      <c r="AA197" s="8">
        <f t="shared" ref="AA197:AA206" si="287">AVERAGE(I197:Q197)</f>
        <v>1362.9940000000001</v>
      </c>
      <c r="AB197" s="8">
        <f t="shared" ref="AB197:AB206" si="288">MAX(I197:Q197)</f>
        <v>2219</v>
      </c>
      <c r="AC197" s="8">
        <f t="shared" ref="AC197:AC206" si="289">MIN(I197:Q197)</f>
        <v>905</v>
      </c>
      <c r="AE197" s="8">
        <f t="shared" ref="AE197:AE206" si="290">+U197-AA197</f>
        <v>229.69599999999991</v>
      </c>
      <c r="AF197" s="8">
        <f t="shared" ref="AF197:AF206" si="291">+U197-AB197</f>
        <v>-626.30999999999995</v>
      </c>
      <c r="AG197" s="8">
        <f t="shared" ref="AG197:AG206" si="292">+U197-AC197</f>
        <v>687.69</v>
      </c>
      <c r="AI197" s="8">
        <f t="shared" ref="AI197:AI206" si="293">+W197-AA197</f>
        <v>-362.99400000000014</v>
      </c>
      <c r="AJ197" s="8">
        <f t="shared" ref="AJ197:AJ206" si="294">+W197-AB197</f>
        <v>-1219</v>
      </c>
      <c r="AK197" s="8">
        <f t="shared" ref="AK197:AK206" si="295">+W197-AC197</f>
        <v>95</v>
      </c>
    </row>
    <row r="198" spans="1:37" s="29" customFormat="1" x14ac:dyDescent="0.2">
      <c r="A198" s="2"/>
      <c r="B198" s="2"/>
      <c r="C198" s="2"/>
      <c r="D198" s="2"/>
      <c r="E198" s="2"/>
      <c r="F198" s="2"/>
      <c r="G198" s="2" t="s">
        <v>156</v>
      </c>
      <c r="H198" s="8"/>
      <c r="I198" s="8">
        <v>5044</v>
      </c>
      <c r="J198" s="8"/>
      <c r="K198" s="8">
        <v>4132</v>
      </c>
      <c r="L198" s="8"/>
      <c r="M198" s="8">
        <v>6603</v>
      </c>
      <c r="N198" s="8"/>
      <c r="O198" s="8">
        <v>10155.879999999999</v>
      </c>
      <c r="P198" s="8"/>
      <c r="Q198" s="8">
        <v>30728.33</v>
      </c>
      <c r="R198" s="8"/>
      <c r="S198" s="8"/>
      <c r="T198" s="8"/>
      <c r="U198" s="8">
        <v>30200.15</v>
      </c>
      <c r="V198" s="8"/>
      <c r="W198" s="47">
        <v>21400</v>
      </c>
      <c r="Y198" s="73">
        <v>17000</v>
      </c>
      <c r="AA198" s="8">
        <f t="shared" si="287"/>
        <v>11332.642</v>
      </c>
      <c r="AB198" s="8">
        <f t="shared" si="288"/>
        <v>30728.33</v>
      </c>
      <c r="AC198" s="8">
        <f t="shared" si="289"/>
        <v>4132</v>
      </c>
      <c r="AE198" s="8">
        <f t="shared" si="290"/>
        <v>18867.508000000002</v>
      </c>
      <c r="AF198" s="8">
        <f t="shared" si="291"/>
        <v>-528.18000000000029</v>
      </c>
      <c r="AG198" s="8">
        <f t="shared" si="292"/>
        <v>26068.15</v>
      </c>
      <c r="AI198" s="8">
        <f t="shared" si="293"/>
        <v>10067.358</v>
      </c>
      <c r="AJ198" s="8">
        <f t="shared" si="294"/>
        <v>-9328.3300000000017</v>
      </c>
      <c r="AK198" s="8">
        <f t="shared" si="295"/>
        <v>17268</v>
      </c>
    </row>
    <row r="199" spans="1:37" s="29" customFormat="1" x14ac:dyDescent="0.2">
      <c r="A199" s="2"/>
      <c r="B199" s="2"/>
      <c r="C199" s="2"/>
      <c r="D199" s="2"/>
      <c r="E199" s="2"/>
      <c r="F199" s="2"/>
      <c r="G199" s="2" t="s">
        <v>157</v>
      </c>
      <c r="H199" s="8"/>
      <c r="I199" s="8"/>
      <c r="J199" s="8"/>
      <c r="K199" s="8"/>
      <c r="L199" s="8"/>
      <c r="M199" s="8"/>
      <c r="N199" s="8"/>
      <c r="O199" s="8"/>
      <c r="P199" s="8"/>
      <c r="Q199" s="8">
        <v>0</v>
      </c>
      <c r="R199" s="8"/>
      <c r="S199" s="8"/>
      <c r="T199" s="8"/>
      <c r="U199" s="8">
        <v>0</v>
      </c>
      <c r="V199" s="8"/>
      <c r="W199" s="47">
        <v>100</v>
      </c>
      <c r="Y199" s="79">
        <v>0</v>
      </c>
      <c r="AA199" s="8">
        <f t="shared" si="287"/>
        <v>0</v>
      </c>
      <c r="AB199" s="8">
        <f t="shared" si="288"/>
        <v>0</v>
      </c>
      <c r="AC199" s="8">
        <f t="shared" si="289"/>
        <v>0</v>
      </c>
      <c r="AE199" s="8">
        <f t="shared" si="290"/>
        <v>0</v>
      </c>
      <c r="AF199" s="8">
        <f t="shared" si="291"/>
        <v>0</v>
      </c>
      <c r="AG199" s="8">
        <f t="shared" si="292"/>
        <v>0</v>
      </c>
      <c r="AI199" s="8">
        <f t="shared" si="293"/>
        <v>100</v>
      </c>
      <c r="AJ199" s="8">
        <f t="shared" si="294"/>
        <v>100</v>
      </c>
      <c r="AK199" s="8">
        <f t="shared" si="295"/>
        <v>100</v>
      </c>
    </row>
    <row r="200" spans="1:37" s="29" customFormat="1" x14ac:dyDescent="0.2">
      <c r="A200" s="2"/>
      <c r="B200" s="2"/>
      <c r="C200" s="2"/>
      <c r="D200" s="2"/>
      <c r="E200" s="2"/>
      <c r="F200" s="2"/>
      <c r="G200" s="2" t="s">
        <v>158</v>
      </c>
      <c r="H200" s="8"/>
      <c r="I200" s="8">
        <v>110951</v>
      </c>
      <c r="J200" s="8"/>
      <c r="K200" s="8">
        <v>173915</v>
      </c>
      <c r="L200" s="8"/>
      <c r="M200" s="8">
        <v>174313</v>
      </c>
      <c r="N200" s="8"/>
      <c r="O200" s="8">
        <f>121665.08+14492.4</f>
        <v>136157.48000000001</v>
      </c>
      <c r="P200" s="8"/>
      <c r="Q200" s="8">
        <v>111876.57</v>
      </c>
      <c r="R200" s="8"/>
      <c r="S200" s="8"/>
      <c r="T200" s="8"/>
      <c r="U200" s="8">
        <v>79122.039999999994</v>
      </c>
      <c r="V200" s="8"/>
      <c r="W200" s="46">
        <v>86500</v>
      </c>
      <c r="Y200" s="31">
        <v>78737</v>
      </c>
      <c r="AA200" s="8">
        <f t="shared" si="287"/>
        <v>141442.61000000002</v>
      </c>
      <c r="AB200" s="8">
        <f t="shared" si="288"/>
        <v>174313</v>
      </c>
      <c r="AC200" s="8">
        <f t="shared" si="289"/>
        <v>110951</v>
      </c>
      <c r="AE200" s="8">
        <f t="shared" si="290"/>
        <v>-62320.570000000022</v>
      </c>
      <c r="AF200" s="8">
        <f t="shared" si="291"/>
        <v>-95190.96</v>
      </c>
      <c r="AG200" s="8">
        <f t="shared" si="292"/>
        <v>-31828.960000000006</v>
      </c>
      <c r="AI200" s="8">
        <f t="shared" si="293"/>
        <v>-54942.610000000015</v>
      </c>
      <c r="AJ200" s="8">
        <f t="shared" si="294"/>
        <v>-87813</v>
      </c>
      <c r="AK200" s="8">
        <f t="shared" si="295"/>
        <v>-24451</v>
      </c>
    </row>
    <row r="201" spans="1:37" s="29" customFormat="1" x14ac:dyDescent="0.2">
      <c r="A201" s="2"/>
      <c r="B201" s="2"/>
      <c r="C201" s="2"/>
      <c r="D201" s="2"/>
      <c r="E201" s="2"/>
      <c r="F201" s="2"/>
      <c r="G201" s="2" t="s">
        <v>159</v>
      </c>
      <c r="H201" s="8"/>
      <c r="I201" s="8"/>
      <c r="J201" s="8"/>
      <c r="K201" s="8"/>
      <c r="L201" s="8"/>
      <c r="M201" s="8"/>
      <c r="N201" s="8"/>
      <c r="O201" s="8"/>
      <c r="P201" s="8"/>
      <c r="Q201" s="8">
        <v>937.5</v>
      </c>
      <c r="R201" s="8"/>
      <c r="S201" s="8"/>
      <c r="T201" s="8"/>
      <c r="U201" s="8">
        <v>512.5</v>
      </c>
      <c r="V201" s="8"/>
      <c r="W201" s="47">
        <v>100</v>
      </c>
      <c r="Y201" s="73">
        <v>350</v>
      </c>
      <c r="AA201" s="8">
        <f t="shared" si="287"/>
        <v>937.5</v>
      </c>
      <c r="AB201" s="8">
        <f t="shared" si="288"/>
        <v>937.5</v>
      </c>
      <c r="AC201" s="8">
        <f t="shared" si="289"/>
        <v>937.5</v>
      </c>
      <c r="AE201" s="8">
        <f t="shared" si="290"/>
        <v>-425</v>
      </c>
      <c r="AF201" s="8">
        <f t="shared" si="291"/>
        <v>-425</v>
      </c>
      <c r="AG201" s="8">
        <f t="shared" si="292"/>
        <v>-425</v>
      </c>
      <c r="AI201" s="8">
        <f t="shared" si="293"/>
        <v>-837.5</v>
      </c>
      <c r="AJ201" s="8">
        <f t="shared" si="294"/>
        <v>-837.5</v>
      </c>
      <c r="AK201" s="8">
        <f t="shared" si="295"/>
        <v>-837.5</v>
      </c>
    </row>
    <row r="202" spans="1:37" s="29" customFormat="1" x14ac:dyDescent="0.2">
      <c r="A202" s="2"/>
      <c r="B202" s="2"/>
      <c r="C202" s="2"/>
      <c r="D202" s="2"/>
      <c r="E202" s="2"/>
      <c r="F202" s="2"/>
      <c r="G202" s="2" t="s">
        <v>160</v>
      </c>
      <c r="H202" s="8"/>
      <c r="I202" s="8"/>
      <c r="J202" s="8"/>
      <c r="K202" s="8"/>
      <c r="L202" s="8"/>
      <c r="M202" s="8"/>
      <c r="N202" s="8"/>
      <c r="O202" s="8"/>
      <c r="P202" s="8"/>
      <c r="Q202" s="8">
        <v>4145</v>
      </c>
      <c r="R202" s="8"/>
      <c r="S202" s="8"/>
      <c r="T202" s="8"/>
      <c r="U202" s="8">
        <v>3767.4</v>
      </c>
      <c r="V202" s="8"/>
      <c r="W202" s="47">
        <v>3685</v>
      </c>
      <c r="Y202" s="88">
        <v>7500</v>
      </c>
      <c r="AA202" s="8">
        <f t="shared" si="287"/>
        <v>4145</v>
      </c>
      <c r="AB202" s="8">
        <f t="shared" si="288"/>
        <v>4145</v>
      </c>
      <c r="AC202" s="8">
        <f t="shared" si="289"/>
        <v>4145</v>
      </c>
      <c r="AE202" s="8">
        <f t="shared" si="290"/>
        <v>-377.59999999999991</v>
      </c>
      <c r="AF202" s="8">
        <f t="shared" si="291"/>
        <v>-377.59999999999991</v>
      </c>
      <c r="AG202" s="8">
        <f t="shared" si="292"/>
        <v>-377.59999999999991</v>
      </c>
      <c r="AI202" s="8">
        <f t="shared" si="293"/>
        <v>-460</v>
      </c>
      <c r="AJ202" s="8">
        <f t="shared" si="294"/>
        <v>-460</v>
      </c>
      <c r="AK202" s="8">
        <f t="shared" si="295"/>
        <v>-460</v>
      </c>
    </row>
    <row r="203" spans="1:37" s="29" customFormat="1" x14ac:dyDescent="0.2">
      <c r="A203" s="2"/>
      <c r="B203" s="2"/>
      <c r="C203" s="2"/>
      <c r="D203" s="2"/>
      <c r="E203" s="2"/>
      <c r="F203" s="2"/>
      <c r="G203" s="2" t="s">
        <v>161</v>
      </c>
      <c r="H203" s="8"/>
      <c r="I203" s="8">
        <v>10618</v>
      </c>
      <c r="J203" s="8"/>
      <c r="K203" s="8">
        <v>6196</v>
      </c>
      <c r="L203" s="8"/>
      <c r="M203" s="8">
        <v>4502</v>
      </c>
      <c r="N203" s="8"/>
      <c r="O203" s="8">
        <v>5520.25</v>
      </c>
      <c r="P203" s="8"/>
      <c r="Q203" s="8">
        <v>8209.2800000000007</v>
      </c>
      <c r="R203" s="8"/>
      <c r="S203" s="8"/>
      <c r="T203" s="8"/>
      <c r="U203" s="8">
        <v>4207.08</v>
      </c>
      <c r="V203" s="8"/>
      <c r="W203" s="46">
        <v>5000</v>
      </c>
      <c r="Y203" s="73">
        <v>6000</v>
      </c>
      <c r="AA203" s="8">
        <f t="shared" si="287"/>
        <v>7009.1059999999998</v>
      </c>
      <c r="AB203" s="8">
        <f t="shared" si="288"/>
        <v>10618</v>
      </c>
      <c r="AC203" s="8">
        <f t="shared" si="289"/>
        <v>4502</v>
      </c>
      <c r="AE203" s="8">
        <f t="shared" si="290"/>
        <v>-2802.0259999999998</v>
      </c>
      <c r="AF203" s="8">
        <f t="shared" si="291"/>
        <v>-6410.92</v>
      </c>
      <c r="AG203" s="8">
        <f t="shared" si="292"/>
        <v>-294.92000000000007</v>
      </c>
      <c r="AI203" s="8">
        <f t="shared" si="293"/>
        <v>-2009.1059999999998</v>
      </c>
      <c r="AJ203" s="8">
        <f t="shared" si="294"/>
        <v>-5618</v>
      </c>
      <c r="AK203" s="8">
        <f t="shared" si="295"/>
        <v>498</v>
      </c>
    </row>
    <row r="204" spans="1:37" s="29" customFormat="1" x14ac:dyDescent="0.2">
      <c r="A204" s="2"/>
      <c r="B204" s="2"/>
      <c r="C204" s="2"/>
      <c r="D204" s="2"/>
      <c r="E204" s="2"/>
      <c r="F204" s="2"/>
      <c r="G204" s="2" t="s">
        <v>162</v>
      </c>
      <c r="H204" s="8"/>
      <c r="I204" s="8">
        <v>15497</v>
      </c>
      <c r="J204" s="8"/>
      <c r="K204" s="8">
        <v>13768</v>
      </c>
      <c r="L204" s="8"/>
      <c r="M204" s="8">
        <v>14064</v>
      </c>
      <c r="N204" s="8"/>
      <c r="O204" s="8">
        <f>7453.55+385.35</f>
        <v>7838.9000000000005</v>
      </c>
      <c r="P204" s="8"/>
      <c r="Q204" s="8">
        <v>5366.88</v>
      </c>
      <c r="R204" s="8"/>
      <c r="S204" s="8"/>
      <c r="T204" s="8"/>
      <c r="U204" s="8">
        <v>7631.44</v>
      </c>
      <c r="V204" s="8"/>
      <c r="W204" s="46">
        <v>8000</v>
      </c>
      <c r="Y204" s="73">
        <v>8000</v>
      </c>
      <c r="AA204" s="8">
        <f t="shared" si="287"/>
        <v>11306.956</v>
      </c>
      <c r="AB204" s="8">
        <f t="shared" si="288"/>
        <v>15497</v>
      </c>
      <c r="AC204" s="8">
        <f t="shared" si="289"/>
        <v>5366.88</v>
      </c>
      <c r="AE204" s="8">
        <f t="shared" si="290"/>
        <v>-3675.5160000000005</v>
      </c>
      <c r="AF204" s="8">
        <f t="shared" si="291"/>
        <v>-7865.56</v>
      </c>
      <c r="AG204" s="8">
        <f t="shared" si="292"/>
        <v>2264.5599999999995</v>
      </c>
      <c r="AI204" s="8">
        <f t="shared" si="293"/>
        <v>-3306.9560000000001</v>
      </c>
      <c r="AJ204" s="8">
        <f t="shared" si="294"/>
        <v>-7497</v>
      </c>
      <c r="AK204" s="8">
        <f t="shared" si="295"/>
        <v>2633.12</v>
      </c>
    </row>
    <row r="205" spans="1:37" s="29" customFormat="1" x14ac:dyDescent="0.2">
      <c r="A205" s="2"/>
      <c r="B205" s="2"/>
      <c r="C205" s="2"/>
      <c r="D205" s="2"/>
      <c r="E205" s="2"/>
      <c r="F205" s="2"/>
      <c r="G205" s="2" t="s">
        <v>163</v>
      </c>
      <c r="H205" s="8"/>
      <c r="I205" s="8">
        <v>7955</v>
      </c>
      <c r="J205" s="8"/>
      <c r="K205" s="8">
        <v>39459</v>
      </c>
      <c r="L205" s="8"/>
      <c r="M205" s="8">
        <v>5926</v>
      </c>
      <c r="N205" s="8"/>
      <c r="O205" s="8">
        <v>10838.78</v>
      </c>
      <c r="P205" s="8"/>
      <c r="Q205" s="8">
        <v>12138.48</v>
      </c>
      <c r="R205" s="8"/>
      <c r="S205" s="8"/>
      <c r="T205" s="8"/>
      <c r="U205" s="8">
        <v>7743.25</v>
      </c>
      <c r="V205" s="8"/>
      <c r="W205" s="46">
        <v>8000</v>
      </c>
      <c r="Y205" s="73">
        <v>8000</v>
      </c>
      <c r="AA205" s="8">
        <f t="shared" si="287"/>
        <v>15263.451999999999</v>
      </c>
      <c r="AB205" s="8">
        <f t="shared" si="288"/>
        <v>39459</v>
      </c>
      <c r="AC205" s="8">
        <f t="shared" si="289"/>
        <v>5926</v>
      </c>
      <c r="AE205" s="8">
        <f t="shared" si="290"/>
        <v>-7520.2019999999993</v>
      </c>
      <c r="AF205" s="8">
        <f t="shared" si="291"/>
        <v>-31715.75</v>
      </c>
      <c r="AG205" s="8">
        <f t="shared" si="292"/>
        <v>1817.25</v>
      </c>
      <c r="AI205" s="8">
        <f t="shared" si="293"/>
        <v>-7263.4519999999993</v>
      </c>
      <c r="AJ205" s="8">
        <f t="shared" si="294"/>
        <v>-31459</v>
      </c>
      <c r="AK205" s="8">
        <f t="shared" si="295"/>
        <v>2074</v>
      </c>
    </row>
    <row r="206" spans="1:37" s="29" customFormat="1" ht="10.8" thickBot="1" x14ac:dyDescent="0.25">
      <c r="A206" s="2"/>
      <c r="B206" s="2"/>
      <c r="C206" s="2"/>
      <c r="D206" s="2"/>
      <c r="E206" s="2"/>
      <c r="F206" s="2"/>
      <c r="G206" s="2" t="s">
        <v>164</v>
      </c>
      <c r="H206" s="8"/>
      <c r="I206" s="9">
        <v>531</v>
      </c>
      <c r="J206" s="8"/>
      <c r="K206" s="9">
        <v>998</v>
      </c>
      <c r="L206" s="8"/>
      <c r="M206" s="9">
        <v>799</v>
      </c>
      <c r="N206" s="8"/>
      <c r="O206" s="9">
        <v>62.32</v>
      </c>
      <c r="P206" s="9"/>
      <c r="Q206" s="8">
        <v>1414.58</v>
      </c>
      <c r="R206" s="9"/>
      <c r="S206" s="9"/>
      <c r="T206" s="8"/>
      <c r="U206" s="8">
        <v>757.08</v>
      </c>
      <c r="V206" s="8"/>
      <c r="W206" s="48">
        <v>500</v>
      </c>
      <c r="Y206" s="81">
        <v>1000</v>
      </c>
      <c r="AA206" s="9">
        <f t="shared" si="287"/>
        <v>760.98</v>
      </c>
      <c r="AB206" s="9">
        <f t="shared" si="288"/>
        <v>1414.58</v>
      </c>
      <c r="AC206" s="9">
        <f t="shared" si="289"/>
        <v>62.32</v>
      </c>
      <c r="AE206" s="9">
        <f t="shared" si="290"/>
        <v>-3.8999999999999773</v>
      </c>
      <c r="AF206" s="9">
        <f t="shared" si="291"/>
        <v>-657.49999999999989</v>
      </c>
      <c r="AG206" s="9">
        <f t="shared" si="292"/>
        <v>694.76</v>
      </c>
      <c r="AI206" s="9">
        <f t="shared" si="293"/>
        <v>-260.98</v>
      </c>
      <c r="AJ206" s="9">
        <f t="shared" si="294"/>
        <v>-914.57999999999993</v>
      </c>
      <c r="AK206" s="9">
        <f t="shared" si="295"/>
        <v>437.68</v>
      </c>
    </row>
    <row r="207" spans="1:37" s="29" customFormat="1" ht="10.8" thickBot="1" x14ac:dyDescent="0.25">
      <c r="A207" s="2"/>
      <c r="B207" s="2"/>
      <c r="C207" s="2"/>
      <c r="D207" s="2"/>
      <c r="E207" s="2"/>
      <c r="F207" s="2" t="s">
        <v>165</v>
      </c>
      <c r="G207" s="2"/>
      <c r="H207" s="8"/>
      <c r="I207" s="10">
        <f>ROUND(SUM(I196:I206),5)</f>
        <v>151934</v>
      </c>
      <c r="J207" s="8"/>
      <c r="K207" s="10">
        <f>ROUND(SUM(K196:K206),5)</f>
        <v>240687</v>
      </c>
      <c r="L207" s="8"/>
      <c r="M207" s="10">
        <f>ROUND(SUM(M196:M206),5)</f>
        <v>207112</v>
      </c>
      <c r="N207" s="8"/>
      <c r="O207" s="10">
        <f>ROUND(SUM(O196:O206),5)</f>
        <v>171776.24</v>
      </c>
      <c r="P207" s="10"/>
      <c r="Q207" s="10">
        <f>ROUND(SUM(Q196:Q206),5)</f>
        <v>175966.96</v>
      </c>
      <c r="R207" s="9"/>
      <c r="S207" s="9"/>
      <c r="T207" s="8"/>
      <c r="U207" s="34">
        <f>ROUND(SUM(U196:U206),5)</f>
        <v>135533.63</v>
      </c>
      <c r="V207" s="8"/>
      <c r="W207" s="34">
        <f>SUM(W197:W206)</f>
        <v>134285</v>
      </c>
      <c r="Y207" s="82">
        <f>ROUND(SUM(Y196:Y206),5)</f>
        <v>128087</v>
      </c>
      <c r="AA207" s="10">
        <f t="shared" ref="AA207:AC207" si="296">ROUND(SUM(AA196:AA206),5)</f>
        <v>193561.24</v>
      </c>
      <c r="AB207" s="10">
        <f t="shared" si="296"/>
        <v>279331.40999999997</v>
      </c>
      <c r="AC207" s="10">
        <f t="shared" si="296"/>
        <v>136927.70000000001</v>
      </c>
      <c r="AE207" s="10">
        <f t="shared" ref="AE207" si="297">ROUND(SUM(AE196:AE206),5)</f>
        <v>-58027.61</v>
      </c>
      <c r="AF207" s="10">
        <f t="shared" ref="AF207" si="298">ROUND(SUM(AF196:AF206),5)</f>
        <v>-143797.78</v>
      </c>
      <c r="AG207" s="10">
        <f t="shared" ref="AG207" si="299">ROUND(SUM(AG196:AG206),5)</f>
        <v>-1394.07</v>
      </c>
      <c r="AI207" s="10">
        <f t="shared" ref="AI207:AK207" si="300">ROUND(SUM(AI196:AI206),5)</f>
        <v>-59276.24</v>
      </c>
      <c r="AJ207" s="10">
        <f t="shared" si="300"/>
        <v>-145046.41</v>
      </c>
      <c r="AK207" s="10">
        <f t="shared" si="300"/>
        <v>-2642.7</v>
      </c>
    </row>
    <row r="208" spans="1:37" s="29" customFormat="1" x14ac:dyDescent="0.2">
      <c r="A208" s="2"/>
      <c r="B208" s="2"/>
      <c r="C208" s="2"/>
      <c r="D208" s="2"/>
      <c r="E208" s="24" t="s">
        <v>166</v>
      </c>
      <c r="F208" s="2"/>
      <c r="G208" s="2"/>
      <c r="H208" s="8"/>
      <c r="I208" s="8">
        <f>ROUND(I162+I171+I178+I184+I190+I195+I207,5)</f>
        <v>1402625</v>
      </c>
      <c r="J208" s="8"/>
      <c r="K208" s="8">
        <f>ROUND(K162+K171+K178+K184+K190+K195+K207,5)</f>
        <v>1486264</v>
      </c>
      <c r="L208" s="8"/>
      <c r="M208" s="8">
        <f>ROUND(M162+M171+M178+M184+M190+M195+M207,5)</f>
        <v>1596237</v>
      </c>
      <c r="N208" s="8"/>
      <c r="O208" s="8">
        <f>ROUND(O162+O171+O178+O184+O190+O195+O207,5)</f>
        <v>1348640.44</v>
      </c>
      <c r="P208" s="8"/>
      <c r="Q208" s="8">
        <f>ROUND(Q162+Q171+Q178+Q184+Q190+Q195+Q207,5)</f>
        <v>1430046.97</v>
      </c>
      <c r="R208" s="8"/>
      <c r="S208" s="8"/>
      <c r="T208" s="8"/>
      <c r="U208" s="31">
        <f>ROUND(U162+U171+U178+U184+U190+U195+U207,5)</f>
        <v>1325087.3</v>
      </c>
      <c r="V208" s="8"/>
      <c r="W208" s="31">
        <f>ROUND(W162+W171+W178+W184+W190+W195+W207,5)</f>
        <v>1496425</v>
      </c>
      <c r="Y208" s="75">
        <f>ROUND(Y162+Y171+Y178+Y184+Y190+Y195+Y207,5)</f>
        <v>1633179</v>
      </c>
      <c r="AA208" s="8">
        <f>ROUND(AA162+AA171+AA178+AA184+AA190+AA195+AA207,5)</f>
        <v>1521183.6126699999</v>
      </c>
      <c r="AB208" s="8">
        <f>ROUND(AB162+AB171+AB178+AB184+AB190+AB195+AB207,5)</f>
        <v>1833587.27</v>
      </c>
      <c r="AC208" s="8">
        <f>ROUND(AC162+AC171+AC178+AC184+AC190+AC195+AC207,5)</f>
        <v>1242925.23</v>
      </c>
      <c r="AE208" s="8">
        <f>ROUND(AE162+AE171+AE178+AE184+AE190+AE195+AE207,5)</f>
        <v>-196159.35266999999</v>
      </c>
      <c r="AF208" s="8">
        <f>ROUND(AF162+AF171+AF178+AF184+AF190+AF195+AF207,5)</f>
        <v>-545421.04</v>
      </c>
      <c r="AG208" s="8">
        <f>ROUND(AG162+AG171+AG178+AG184+AG190+AG195+AG207,5)</f>
        <v>82099.03</v>
      </c>
      <c r="AH208" s="8"/>
      <c r="AI208" s="8">
        <f>ROUND(AI162+AI171+AI178+AI184+AI190+AI195+AI207,5)</f>
        <v>-24758.612669999999</v>
      </c>
      <c r="AJ208" s="8">
        <f>ROUND(AJ162+AJ171+AJ178+AJ184+AJ190+AJ195+AJ207,5)</f>
        <v>-375255.27</v>
      </c>
      <c r="AK208" s="8">
        <f>ROUND(AK162+AK171+AK178+AK184+AK190+AK195+AK207,5)</f>
        <v>253499.77</v>
      </c>
    </row>
    <row r="209" spans="1:37" s="29" customFormat="1" x14ac:dyDescent="0.2">
      <c r="A209" s="2"/>
      <c r="B209" s="2"/>
      <c r="C209" s="2"/>
      <c r="D209" s="2"/>
      <c r="E209" s="2"/>
      <c r="F209" s="2"/>
      <c r="G209" s="2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Y209" s="8"/>
      <c r="AA209" s="8"/>
      <c r="AB209" s="8"/>
      <c r="AC209" s="8"/>
      <c r="AE209" s="8"/>
      <c r="AF209" s="8"/>
      <c r="AG209" s="8"/>
      <c r="AI209" s="8"/>
      <c r="AJ209" s="8"/>
      <c r="AK209" s="8"/>
    </row>
    <row r="210" spans="1:37" s="29" customFormat="1" x14ac:dyDescent="0.2">
      <c r="A210" s="2"/>
      <c r="B210" s="2"/>
      <c r="C210" s="2"/>
      <c r="D210" s="2"/>
      <c r="E210" s="28" t="s">
        <v>167</v>
      </c>
      <c r="F210" s="27"/>
      <c r="G210" s="27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Y210" s="8"/>
      <c r="AA210" s="8"/>
      <c r="AB210" s="8"/>
      <c r="AC210" s="8"/>
      <c r="AE210" s="8"/>
      <c r="AF210" s="8"/>
      <c r="AG210" s="8"/>
      <c r="AI210" s="8"/>
      <c r="AJ210" s="8"/>
      <c r="AK210" s="8"/>
    </row>
    <row r="211" spans="1:37" s="29" customFormat="1" x14ac:dyDescent="0.2">
      <c r="A211" s="2"/>
      <c r="B211" s="2"/>
      <c r="C211" s="2"/>
      <c r="D211" s="2"/>
      <c r="E211" s="2"/>
      <c r="F211" s="2" t="s">
        <v>168</v>
      </c>
      <c r="G211" s="2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Y211" s="8"/>
      <c r="AA211" s="8"/>
      <c r="AB211" s="8"/>
      <c r="AC211" s="8"/>
      <c r="AE211" s="8"/>
      <c r="AF211" s="8"/>
      <c r="AG211" s="8"/>
      <c r="AI211" s="8"/>
      <c r="AJ211" s="8"/>
      <c r="AK211" s="8"/>
    </row>
    <row r="212" spans="1:37" s="29" customFormat="1" x14ac:dyDescent="0.2">
      <c r="A212" s="2"/>
      <c r="B212" s="2"/>
      <c r="C212" s="2"/>
      <c r="D212" s="2"/>
      <c r="E212" s="2"/>
      <c r="F212" s="2"/>
      <c r="G212" s="2" t="s">
        <v>169</v>
      </c>
      <c r="H212" s="8"/>
      <c r="I212" s="8">
        <v>49453</v>
      </c>
      <c r="J212" s="8"/>
      <c r="K212" s="8">
        <v>59876</v>
      </c>
      <c r="L212" s="8"/>
      <c r="M212" s="8">
        <v>87659</v>
      </c>
      <c r="N212" s="8"/>
      <c r="O212" s="8">
        <v>98332.06</v>
      </c>
      <c r="P212" s="8"/>
      <c r="Q212" s="8">
        <v>60661.23</v>
      </c>
      <c r="R212" s="8"/>
      <c r="S212" s="8"/>
      <c r="T212" s="8"/>
      <c r="U212" s="8">
        <v>48069.79</v>
      </c>
      <c r="V212" s="8"/>
      <c r="W212" s="46">
        <v>60131</v>
      </c>
      <c r="Y212" s="88">
        <v>61607</v>
      </c>
      <c r="Z212" s="6"/>
      <c r="AA212" s="8">
        <f t="shared" ref="AA212:AA217" si="301">AVERAGE(I212:Q212)</f>
        <v>71196.258000000002</v>
      </c>
      <c r="AB212" s="8">
        <f t="shared" ref="AB212:AB217" si="302">MAX(I212:Q212)</f>
        <v>98332.06</v>
      </c>
      <c r="AC212" s="8">
        <f t="shared" ref="AC212:AC217" si="303">MIN(I212:Q212)</f>
        <v>49453</v>
      </c>
      <c r="AE212" s="8">
        <f t="shared" ref="AE212:AE217" si="304">+U212-AA212</f>
        <v>-23126.468000000001</v>
      </c>
      <c r="AF212" s="8">
        <f t="shared" ref="AF212:AF217" si="305">+U212-AB212</f>
        <v>-50262.27</v>
      </c>
      <c r="AG212" s="8">
        <f t="shared" ref="AG212:AG217" si="306">+U212-AC212</f>
        <v>-1383.2099999999991</v>
      </c>
      <c r="AI212" s="8">
        <f t="shared" ref="AI212:AI217" si="307">+W212-AA212</f>
        <v>-11065.258000000002</v>
      </c>
      <c r="AJ212" s="8">
        <f t="shared" ref="AJ212:AJ217" si="308">+W212-AB212</f>
        <v>-38201.06</v>
      </c>
      <c r="AK212" s="8">
        <f t="shared" ref="AK212:AK217" si="309">+W212-AC212</f>
        <v>10678</v>
      </c>
    </row>
    <row r="213" spans="1:37" s="29" customFormat="1" x14ac:dyDescent="0.2">
      <c r="A213" s="2"/>
      <c r="B213" s="2"/>
      <c r="C213" s="2"/>
      <c r="D213" s="2"/>
      <c r="E213" s="2"/>
      <c r="F213" s="2"/>
      <c r="G213" s="2" t="s">
        <v>170</v>
      </c>
      <c r="H213" s="8"/>
      <c r="I213" s="8">
        <v>4553</v>
      </c>
      <c r="J213" s="8"/>
      <c r="K213" s="8">
        <v>5422</v>
      </c>
      <c r="L213" s="8"/>
      <c r="M213" s="8">
        <v>7726</v>
      </c>
      <c r="N213" s="8"/>
      <c r="O213" s="8">
        <v>7787.04</v>
      </c>
      <c r="P213" s="8"/>
      <c r="Q213" s="8">
        <v>5292.88</v>
      </c>
      <c r="R213" s="8"/>
      <c r="S213" s="8"/>
      <c r="T213" s="8"/>
      <c r="U213" s="8">
        <v>4159.18</v>
      </c>
      <c r="V213" s="8"/>
      <c r="W213" s="46">
        <v>4600</v>
      </c>
      <c r="Y213" s="73">
        <v>4713</v>
      </c>
      <c r="Z213" s="6"/>
      <c r="AA213" s="8">
        <f t="shared" si="301"/>
        <v>6156.1840000000002</v>
      </c>
      <c r="AB213" s="8">
        <f t="shared" si="302"/>
        <v>7787.04</v>
      </c>
      <c r="AC213" s="8">
        <f t="shared" si="303"/>
        <v>4553</v>
      </c>
      <c r="AE213" s="8">
        <f t="shared" si="304"/>
        <v>-1997.0039999999999</v>
      </c>
      <c r="AF213" s="8">
        <f t="shared" si="305"/>
        <v>-3627.8599999999997</v>
      </c>
      <c r="AG213" s="8">
        <f t="shared" si="306"/>
        <v>-393.81999999999971</v>
      </c>
      <c r="AI213" s="8">
        <f t="shared" si="307"/>
        <v>-1556.1840000000002</v>
      </c>
      <c r="AJ213" s="8">
        <f t="shared" si="308"/>
        <v>-3187.04</v>
      </c>
      <c r="AK213" s="8">
        <f t="shared" si="309"/>
        <v>47</v>
      </c>
    </row>
    <row r="214" spans="1:37" s="29" customFormat="1" x14ac:dyDescent="0.2">
      <c r="A214" s="2"/>
      <c r="B214" s="2"/>
      <c r="C214" s="2"/>
      <c r="D214" s="2"/>
      <c r="E214" s="2"/>
      <c r="F214" s="2"/>
      <c r="G214" s="2" t="s">
        <v>171</v>
      </c>
      <c r="H214" s="8"/>
      <c r="I214" s="8">
        <v>8997</v>
      </c>
      <c r="J214" s="8"/>
      <c r="K214" s="8">
        <v>10024</v>
      </c>
      <c r="L214" s="8"/>
      <c r="M214" s="8">
        <v>8811</v>
      </c>
      <c r="N214" s="8"/>
      <c r="O214" s="8">
        <v>11305.63</v>
      </c>
      <c r="P214" s="8"/>
      <c r="Q214" s="8">
        <v>10055.66</v>
      </c>
      <c r="R214" s="8"/>
      <c r="S214" s="8"/>
      <c r="T214" s="8"/>
      <c r="U214" s="8">
        <v>9893.26</v>
      </c>
      <c r="V214" s="8"/>
      <c r="W214" s="46">
        <v>10035</v>
      </c>
      <c r="Y214" s="73">
        <v>11380</v>
      </c>
      <c r="Z214" s="6"/>
      <c r="AA214" s="8">
        <f t="shared" si="301"/>
        <v>9838.6579999999994</v>
      </c>
      <c r="AB214" s="8">
        <f t="shared" si="302"/>
        <v>11305.63</v>
      </c>
      <c r="AC214" s="8">
        <f t="shared" si="303"/>
        <v>8811</v>
      </c>
      <c r="AE214" s="8">
        <f t="shared" si="304"/>
        <v>54.602000000000771</v>
      </c>
      <c r="AF214" s="8">
        <f t="shared" si="305"/>
        <v>-1412.369999999999</v>
      </c>
      <c r="AG214" s="8">
        <f t="shared" si="306"/>
        <v>1082.2600000000002</v>
      </c>
      <c r="AI214" s="8">
        <f t="shared" si="307"/>
        <v>196.34200000000055</v>
      </c>
      <c r="AJ214" s="8">
        <f t="shared" si="308"/>
        <v>-1270.6299999999992</v>
      </c>
      <c r="AK214" s="8">
        <f t="shared" si="309"/>
        <v>1224</v>
      </c>
    </row>
    <row r="215" spans="1:37" s="32" customFormat="1" x14ac:dyDescent="0.2">
      <c r="A215" s="2"/>
      <c r="B215" s="2"/>
      <c r="C215" s="2"/>
      <c r="D215" s="2"/>
      <c r="E215" s="2"/>
      <c r="F215" s="2"/>
      <c r="G215" s="2" t="s">
        <v>172</v>
      </c>
      <c r="H215" s="9"/>
      <c r="I215" s="9"/>
      <c r="J215" s="9"/>
      <c r="K215" s="9"/>
      <c r="L215" s="9"/>
      <c r="M215" s="9"/>
      <c r="N215" s="9"/>
      <c r="O215" s="9"/>
      <c r="P215" s="9"/>
      <c r="Q215" s="8">
        <v>1333.49</v>
      </c>
      <c r="R215" s="9"/>
      <c r="S215" s="9"/>
      <c r="T215" s="9"/>
      <c r="U215" s="8">
        <v>1280.33</v>
      </c>
      <c r="V215" s="9"/>
      <c r="W215" s="50">
        <v>1387</v>
      </c>
      <c r="Y215" s="81">
        <v>1421</v>
      </c>
      <c r="Z215" s="43"/>
      <c r="AA215" s="9">
        <f t="shared" si="301"/>
        <v>1333.49</v>
      </c>
      <c r="AB215" s="9">
        <f t="shared" si="302"/>
        <v>1333.49</v>
      </c>
      <c r="AC215" s="9">
        <f t="shared" si="303"/>
        <v>1333.49</v>
      </c>
      <c r="AD215" s="29"/>
      <c r="AE215" s="9">
        <f t="shared" si="304"/>
        <v>-53.160000000000082</v>
      </c>
      <c r="AF215" s="9">
        <f t="shared" si="305"/>
        <v>-53.160000000000082</v>
      </c>
      <c r="AG215" s="9">
        <f t="shared" si="306"/>
        <v>-53.160000000000082</v>
      </c>
      <c r="AH215" s="29"/>
      <c r="AI215" s="9">
        <f t="shared" si="307"/>
        <v>53.509999999999991</v>
      </c>
      <c r="AJ215" s="9">
        <f t="shared" si="308"/>
        <v>53.509999999999991</v>
      </c>
      <c r="AK215" s="9">
        <f t="shared" si="309"/>
        <v>53.509999999999991</v>
      </c>
    </row>
    <row r="216" spans="1:37" s="32" customFormat="1" x14ac:dyDescent="0.2">
      <c r="A216" s="2"/>
      <c r="B216" s="2"/>
      <c r="C216" s="2"/>
      <c r="D216" s="2"/>
      <c r="E216" s="2"/>
      <c r="F216" s="2"/>
      <c r="G216" s="2" t="s">
        <v>362</v>
      </c>
      <c r="H216" s="9"/>
      <c r="I216" s="9"/>
      <c r="J216" s="9"/>
      <c r="K216" s="9"/>
      <c r="L216" s="9"/>
      <c r="M216" s="9"/>
      <c r="N216" s="9"/>
      <c r="O216" s="9"/>
      <c r="P216" s="9"/>
      <c r="Q216" s="8"/>
      <c r="R216" s="9"/>
      <c r="S216" s="9"/>
      <c r="T216" s="9"/>
      <c r="U216" s="8">
        <v>191.9</v>
      </c>
      <c r="V216" s="9"/>
      <c r="W216" s="50"/>
      <c r="Y216" s="81">
        <v>200</v>
      </c>
      <c r="Z216" s="43"/>
      <c r="AA216" s="9"/>
      <c r="AB216" s="9"/>
      <c r="AC216" s="9"/>
      <c r="AD216" s="29"/>
      <c r="AE216" s="9"/>
      <c r="AF216" s="9"/>
      <c r="AG216" s="9"/>
      <c r="AH216" s="29"/>
      <c r="AI216" s="9"/>
      <c r="AJ216" s="9"/>
      <c r="AK216" s="9"/>
    </row>
    <row r="217" spans="1:37" s="29" customFormat="1" ht="10.8" thickBot="1" x14ac:dyDescent="0.25">
      <c r="A217" s="2"/>
      <c r="B217" s="2"/>
      <c r="C217" s="2"/>
      <c r="D217" s="2"/>
      <c r="E217" s="2"/>
      <c r="F217" s="2"/>
      <c r="G217" s="2" t="s">
        <v>308</v>
      </c>
      <c r="H217" s="8"/>
      <c r="I217" s="11"/>
      <c r="J217" s="8"/>
      <c r="K217" s="11"/>
      <c r="L217" s="8"/>
      <c r="M217" s="11"/>
      <c r="N217" s="8"/>
      <c r="O217" s="11"/>
      <c r="P217" s="11"/>
      <c r="Q217" s="11">
        <v>0</v>
      </c>
      <c r="R217" s="9"/>
      <c r="S217" s="9"/>
      <c r="T217" s="8"/>
      <c r="U217" s="11">
        <v>3630.33</v>
      </c>
      <c r="V217" s="8"/>
      <c r="W217" s="42">
        <v>3752</v>
      </c>
      <c r="Y217" s="74">
        <v>3845</v>
      </c>
      <c r="Z217" s="6"/>
      <c r="AA217" s="11">
        <f t="shared" si="301"/>
        <v>0</v>
      </c>
      <c r="AB217" s="11">
        <f t="shared" si="302"/>
        <v>0</v>
      </c>
      <c r="AC217" s="11">
        <f t="shared" si="303"/>
        <v>0</v>
      </c>
      <c r="AE217" s="11">
        <f t="shared" si="304"/>
        <v>3630.33</v>
      </c>
      <c r="AF217" s="11">
        <f t="shared" si="305"/>
        <v>3630.33</v>
      </c>
      <c r="AG217" s="11">
        <f t="shared" si="306"/>
        <v>3630.33</v>
      </c>
      <c r="AI217" s="11">
        <f t="shared" si="307"/>
        <v>3752</v>
      </c>
      <c r="AJ217" s="11">
        <f t="shared" si="308"/>
        <v>3752</v>
      </c>
      <c r="AK217" s="11">
        <f t="shared" si="309"/>
        <v>3752</v>
      </c>
    </row>
    <row r="218" spans="1:37" s="29" customFormat="1" x14ac:dyDescent="0.2">
      <c r="A218" s="2"/>
      <c r="B218" s="2"/>
      <c r="C218" s="2"/>
      <c r="D218" s="2"/>
      <c r="E218" s="2"/>
      <c r="F218" s="2" t="s">
        <v>173</v>
      </c>
      <c r="G218" s="2"/>
      <c r="H218" s="8"/>
      <c r="I218" s="8">
        <f>ROUND(SUM(I211:I217),5)</f>
        <v>63003</v>
      </c>
      <c r="J218" s="8"/>
      <c r="K218" s="8">
        <f>ROUND(SUM(K211:K217),5)</f>
        <v>75322</v>
      </c>
      <c r="L218" s="8"/>
      <c r="M218" s="8">
        <f>ROUND(SUM(M211:M217),5)</f>
        <v>104196</v>
      </c>
      <c r="N218" s="8"/>
      <c r="O218" s="8">
        <f>ROUND(SUM(O211:O217),5)</f>
        <v>117424.73</v>
      </c>
      <c r="P218" s="8"/>
      <c r="Q218" s="8">
        <f>ROUND(SUM(Q211:Q217),5)</f>
        <v>77343.259999999995</v>
      </c>
      <c r="R218" s="8"/>
      <c r="S218" s="8"/>
      <c r="T218" s="8"/>
      <c r="U218" s="30">
        <f>ROUND(SUM(U211:U217),5)</f>
        <v>67224.789999999994</v>
      </c>
      <c r="V218" s="8"/>
      <c r="W218" s="30">
        <f>ROUND(SUM(W211:W217),5)</f>
        <v>79905</v>
      </c>
      <c r="Y218" s="75">
        <f>ROUND(SUM(Y211:Y217),5)</f>
        <v>83166</v>
      </c>
      <c r="Z218" s="6"/>
      <c r="AA218" s="8">
        <f>ROUND(SUM(AA211:AA217),5)</f>
        <v>88524.59</v>
      </c>
      <c r="AB218" s="8">
        <f t="shared" ref="AB218" si="310">ROUND(SUM(AB211:AB215),5)</f>
        <v>118758.22</v>
      </c>
      <c r="AC218" s="8">
        <f>ROUND(SUM(AC211:AC217),5)</f>
        <v>64150.49</v>
      </c>
      <c r="AE218" s="8">
        <f>ROUND(SUM(AE211:AE217),5)</f>
        <v>-21491.7</v>
      </c>
      <c r="AF218" s="8">
        <f t="shared" ref="AF218" si="311">ROUND(SUM(AF211:AF215),5)</f>
        <v>-55355.66</v>
      </c>
      <c r="AG218" s="8">
        <f>ROUND(SUM(AG211:AG217),5)</f>
        <v>2882.4</v>
      </c>
      <c r="AI218" s="8">
        <f>ROUND(SUM(AI211:AI217),5)</f>
        <v>-8619.59</v>
      </c>
      <c r="AJ218" s="8">
        <f t="shared" ref="AJ218" si="312">ROUND(SUM(AJ211:AJ215),5)</f>
        <v>-42605.22</v>
      </c>
      <c r="AK218" s="8">
        <f>ROUND(SUM(AK211:AK217),5)</f>
        <v>15754.51</v>
      </c>
    </row>
    <row r="219" spans="1:37" s="29" customFormat="1" x14ac:dyDescent="0.2">
      <c r="A219" s="2"/>
      <c r="B219" s="2"/>
      <c r="C219" s="2"/>
      <c r="D219" s="2"/>
      <c r="E219" s="2"/>
      <c r="F219" s="2" t="s">
        <v>174</v>
      </c>
      <c r="G219" s="2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Y219" s="77"/>
      <c r="AA219" s="8"/>
      <c r="AB219" s="8"/>
      <c r="AC219" s="8"/>
      <c r="AE219" s="8"/>
      <c r="AF219" s="8"/>
      <c r="AG219" s="8"/>
      <c r="AI219" s="8"/>
      <c r="AJ219" s="8"/>
      <c r="AK219" s="8"/>
    </row>
    <row r="220" spans="1:37" s="29" customFormat="1" x14ac:dyDescent="0.2">
      <c r="A220" s="2"/>
      <c r="B220" s="2"/>
      <c r="C220" s="2"/>
      <c r="D220" s="2"/>
      <c r="E220" s="2"/>
      <c r="F220" s="2"/>
      <c r="G220" s="2" t="s">
        <v>175</v>
      </c>
      <c r="H220" s="8"/>
      <c r="I220" s="8">
        <f>1579+5191</f>
        <v>6770</v>
      </c>
      <c r="J220" s="8"/>
      <c r="K220" s="8">
        <f>1670+4393</f>
        <v>6063</v>
      </c>
      <c r="L220" s="8"/>
      <c r="M220" s="8">
        <f>2361+3801</f>
        <v>6162</v>
      </c>
      <c r="N220" s="8"/>
      <c r="O220" s="8">
        <f>1623.08+3747.78</f>
        <v>5370.8600000000006</v>
      </c>
      <c r="P220" s="8"/>
      <c r="Q220" s="8">
        <v>5663.06</v>
      </c>
      <c r="R220" s="8"/>
      <c r="S220" s="8"/>
      <c r="T220" s="8"/>
      <c r="U220" s="8">
        <v>5133.51</v>
      </c>
      <c r="V220" s="8"/>
      <c r="W220" s="46">
        <v>6000</v>
      </c>
      <c r="Y220" s="73">
        <v>6000</v>
      </c>
      <c r="AA220" s="8">
        <f t="shared" ref="AA220:AA221" si="313">AVERAGE(I220:Q220)</f>
        <v>6005.7840000000006</v>
      </c>
      <c r="AB220" s="8">
        <f t="shared" ref="AB220:AB221" si="314">MAX(I220:Q220)</f>
        <v>6770</v>
      </c>
      <c r="AC220" s="8">
        <f t="shared" ref="AC220:AC221" si="315">MIN(I220:Q220)</f>
        <v>5370.8600000000006</v>
      </c>
      <c r="AE220" s="8">
        <f t="shared" ref="AE220:AE221" si="316">+U220-AA220</f>
        <v>-872.27400000000034</v>
      </c>
      <c r="AF220" s="8">
        <f t="shared" ref="AF220:AF221" si="317">+U220-AB220</f>
        <v>-1636.4899999999998</v>
      </c>
      <c r="AG220" s="8">
        <f t="shared" ref="AG220:AG221" si="318">+U220-AC220</f>
        <v>-237.35000000000036</v>
      </c>
      <c r="AI220" s="8">
        <f t="shared" ref="AI220:AI221" si="319">+W220-AA220</f>
        <v>-5.7840000000005602</v>
      </c>
      <c r="AJ220" s="8">
        <f t="shared" ref="AJ220:AJ221" si="320">+W220-AB220</f>
        <v>-770</v>
      </c>
      <c r="AK220" s="8">
        <f t="shared" ref="AK220:AK221" si="321">+W220-AC220</f>
        <v>629.13999999999942</v>
      </c>
    </row>
    <row r="221" spans="1:37" s="29" customFormat="1" ht="10.8" thickBot="1" x14ac:dyDescent="0.25">
      <c r="A221" s="2"/>
      <c r="B221" s="2"/>
      <c r="C221" s="2"/>
      <c r="D221" s="2"/>
      <c r="E221" s="2"/>
      <c r="F221" s="2"/>
      <c r="G221" s="2" t="s">
        <v>176</v>
      </c>
      <c r="H221" s="8"/>
      <c r="I221" s="11">
        <v>636</v>
      </c>
      <c r="J221" s="8"/>
      <c r="K221" s="11">
        <v>690</v>
      </c>
      <c r="L221" s="8"/>
      <c r="M221" s="11">
        <v>1481</v>
      </c>
      <c r="N221" s="8"/>
      <c r="O221" s="11">
        <v>1167.8</v>
      </c>
      <c r="P221" s="11"/>
      <c r="Q221" s="11">
        <v>3393.47</v>
      </c>
      <c r="R221" s="9"/>
      <c r="S221" s="9"/>
      <c r="T221" s="8"/>
      <c r="U221" s="11">
        <v>682.89</v>
      </c>
      <c r="V221" s="8"/>
      <c r="W221" s="39">
        <v>1200</v>
      </c>
      <c r="Y221" s="74">
        <v>1200</v>
      </c>
      <c r="AA221" s="11">
        <f t="shared" si="313"/>
        <v>1473.654</v>
      </c>
      <c r="AB221" s="11">
        <f t="shared" si="314"/>
        <v>3393.47</v>
      </c>
      <c r="AC221" s="11">
        <f t="shared" si="315"/>
        <v>636</v>
      </c>
      <c r="AE221" s="11">
        <f t="shared" si="316"/>
        <v>-790.76400000000001</v>
      </c>
      <c r="AF221" s="11">
        <f t="shared" si="317"/>
        <v>-2710.58</v>
      </c>
      <c r="AG221" s="11">
        <f t="shared" si="318"/>
        <v>46.889999999999986</v>
      </c>
      <c r="AI221" s="11">
        <f t="shared" si="319"/>
        <v>-273.654</v>
      </c>
      <c r="AJ221" s="11">
        <f t="shared" si="320"/>
        <v>-2193.4699999999998</v>
      </c>
      <c r="AK221" s="11">
        <f t="shared" si="321"/>
        <v>564</v>
      </c>
    </row>
    <row r="222" spans="1:37" s="29" customFormat="1" x14ac:dyDescent="0.2">
      <c r="A222" s="2"/>
      <c r="B222" s="2"/>
      <c r="C222" s="2"/>
      <c r="D222" s="2"/>
      <c r="E222" s="2"/>
      <c r="F222" s="2" t="s">
        <v>177</v>
      </c>
      <c r="G222" s="2"/>
      <c r="H222" s="8"/>
      <c r="I222" s="8">
        <f>ROUND(SUM(I219:I221),5)</f>
        <v>7406</v>
      </c>
      <c r="J222" s="8"/>
      <c r="K222" s="8">
        <f>ROUND(SUM(K219:K221),5)</f>
        <v>6753</v>
      </c>
      <c r="L222" s="8"/>
      <c r="M222" s="8">
        <f>ROUND(SUM(M219:M221),5)</f>
        <v>7643</v>
      </c>
      <c r="N222" s="8"/>
      <c r="O222" s="8">
        <f>ROUND(SUM(O219:O221),5)</f>
        <v>6538.66</v>
      </c>
      <c r="P222" s="8"/>
      <c r="Q222" s="8">
        <f>ROUND(SUM(Q219:Q221),5)</f>
        <v>9056.5300000000007</v>
      </c>
      <c r="R222" s="8"/>
      <c r="S222" s="8"/>
      <c r="T222" s="8"/>
      <c r="U222" s="30">
        <f>ROUND(SUM(U219:U221),5)</f>
        <v>5816.4</v>
      </c>
      <c r="V222" s="8"/>
      <c r="W222" s="30">
        <f>SUM(W220:W221)</f>
        <v>7200</v>
      </c>
      <c r="Y222" s="75">
        <f>ROUND(SUM(Y219:Y221),5)</f>
        <v>7200</v>
      </c>
      <c r="AA222" s="8">
        <f t="shared" ref="AA222:AC222" si="322">ROUND(SUM(AA219:AA221),5)</f>
        <v>7479.4380000000001</v>
      </c>
      <c r="AB222" s="8">
        <f t="shared" si="322"/>
        <v>10163.469999999999</v>
      </c>
      <c r="AC222" s="8">
        <f t="shared" si="322"/>
        <v>6006.86</v>
      </c>
      <c r="AE222" s="8">
        <f t="shared" ref="AE222" si="323">ROUND(SUM(AE219:AE221),5)</f>
        <v>-1663.038</v>
      </c>
      <c r="AF222" s="8">
        <f t="shared" ref="AF222" si="324">ROUND(SUM(AF219:AF221),5)</f>
        <v>-4347.07</v>
      </c>
      <c r="AG222" s="8">
        <f t="shared" ref="AG222" si="325">ROUND(SUM(AG219:AG221),5)</f>
        <v>-190.46</v>
      </c>
      <c r="AI222" s="8">
        <f t="shared" ref="AI222:AK222" si="326">ROUND(SUM(AI219:AI221),5)</f>
        <v>-279.43799999999999</v>
      </c>
      <c r="AJ222" s="8">
        <f t="shared" si="326"/>
        <v>-2963.47</v>
      </c>
      <c r="AK222" s="8">
        <f t="shared" si="326"/>
        <v>1193.1400000000001</v>
      </c>
    </row>
    <row r="223" spans="1:37" s="29" customFormat="1" x14ac:dyDescent="0.2">
      <c r="A223" s="2"/>
      <c r="B223" s="2"/>
      <c r="C223" s="2"/>
      <c r="D223" s="2"/>
      <c r="E223" s="2"/>
      <c r="F223" s="2" t="s">
        <v>178</v>
      </c>
      <c r="G223" s="2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Y223" s="77"/>
      <c r="AA223" s="8"/>
      <c r="AB223" s="8"/>
      <c r="AC223" s="8"/>
      <c r="AE223" s="8"/>
      <c r="AF223" s="8"/>
      <c r="AG223" s="8"/>
      <c r="AI223" s="8"/>
      <c r="AJ223" s="8"/>
      <c r="AK223" s="8"/>
    </row>
    <row r="224" spans="1:37" s="29" customFormat="1" x14ac:dyDescent="0.2">
      <c r="A224" s="2"/>
      <c r="B224" s="2"/>
      <c r="C224" s="2"/>
      <c r="D224" s="2"/>
      <c r="E224" s="2"/>
      <c r="F224" s="2"/>
      <c r="G224" s="2" t="s">
        <v>179</v>
      </c>
      <c r="H224" s="8"/>
      <c r="I224" s="8">
        <v>3363</v>
      </c>
      <c r="J224" s="8"/>
      <c r="K224" s="8">
        <v>2705</v>
      </c>
      <c r="L224" s="8"/>
      <c r="M224" s="8">
        <v>7962</v>
      </c>
      <c r="N224" s="8"/>
      <c r="O224" s="8">
        <v>3991.88</v>
      </c>
      <c r="P224" s="8"/>
      <c r="Q224" s="8">
        <v>3452.34</v>
      </c>
      <c r="R224" s="8"/>
      <c r="S224" s="8"/>
      <c r="T224" s="8"/>
      <c r="U224" s="8">
        <v>2788.72</v>
      </c>
      <c r="V224" s="8"/>
      <c r="W224" s="47">
        <v>3600</v>
      </c>
      <c r="Y224" s="73">
        <v>3600</v>
      </c>
      <c r="AA224" s="8">
        <f t="shared" ref="AA224:AA225" si="327">AVERAGE(I224:Q224)</f>
        <v>4294.8440000000001</v>
      </c>
      <c r="AB224" s="8">
        <f t="shared" ref="AB224:AB225" si="328">MAX(I224:Q224)</f>
        <v>7962</v>
      </c>
      <c r="AC224" s="8">
        <f t="shared" ref="AC224:AC225" si="329">MIN(I224:Q224)</f>
        <v>2705</v>
      </c>
      <c r="AE224" s="8">
        <f t="shared" ref="AE224:AE225" si="330">+U224-AA224</f>
        <v>-1506.1240000000003</v>
      </c>
      <c r="AF224" s="8">
        <f t="shared" ref="AF224:AF225" si="331">+U224-AB224</f>
        <v>-5173.2800000000007</v>
      </c>
      <c r="AG224" s="8">
        <f t="shared" ref="AG224:AG225" si="332">+U224-AC224</f>
        <v>83.7199999999998</v>
      </c>
      <c r="AI224" s="8">
        <f t="shared" ref="AI224:AI225" si="333">+W224-AA224</f>
        <v>-694.84400000000005</v>
      </c>
      <c r="AJ224" s="8">
        <f t="shared" ref="AJ224:AJ225" si="334">+W224-AB224</f>
        <v>-4362</v>
      </c>
      <c r="AK224" s="8">
        <f t="shared" ref="AK224:AK225" si="335">+W224-AC224</f>
        <v>895</v>
      </c>
    </row>
    <row r="225" spans="1:37" s="29" customFormat="1" ht="10.8" thickBot="1" x14ac:dyDescent="0.25">
      <c r="A225" s="2"/>
      <c r="B225" s="2"/>
      <c r="C225" s="2"/>
      <c r="D225" s="2"/>
      <c r="E225" s="2"/>
      <c r="F225" s="2"/>
      <c r="G225" s="2" t="s">
        <v>180</v>
      </c>
      <c r="H225" s="8"/>
      <c r="I225" s="11">
        <v>2014</v>
      </c>
      <c r="J225" s="8"/>
      <c r="K225" s="11">
        <v>3342</v>
      </c>
      <c r="L225" s="8"/>
      <c r="M225" s="11">
        <v>1273</v>
      </c>
      <c r="N225" s="8"/>
      <c r="O225" s="11">
        <v>4034.85</v>
      </c>
      <c r="P225" s="11"/>
      <c r="Q225" s="11">
        <v>2358.4299999999998</v>
      </c>
      <c r="R225" s="9"/>
      <c r="S225" s="9"/>
      <c r="T225" s="8"/>
      <c r="U225" s="11">
        <v>1229.99</v>
      </c>
      <c r="V225" s="8"/>
      <c r="W225" s="39">
        <v>2400</v>
      </c>
      <c r="Y225" s="74">
        <v>1800</v>
      </c>
      <c r="AA225" s="11">
        <f t="shared" si="327"/>
        <v>2604.4560000000001</v>
      </c>
      <c r="AB225" s="11">
        <f t="shared" si="328"/>
        <v>4034.85</v>
      </c>
      <c r="AC225" s="11">
        <f t="shared" si="329"/>
        <v>1273</v>
      </c>
      <c r="AE225" s="11">
        <f t="shared" si="330"/>
        <v>-1374.4660000000001</v>
      </c>
      <c r="AF225" s="11">
        <f t="shared" si="331"/>
        <v>-2804.8599999999997</v>
      </c>
      <c r="AG225" s="11">
        <f t="shared" si="332"/>
        <v>-43.009999999999991</v>
      </c>
      <c r="AI225" s="11">
        <f t="shared" si="333"/>
        <v>-204.45600000000013</v>
      </c>
      <c r="AJ225" s="11">
        <f t="shared" si="334"/>
        <v>-1634.85</v>
      </c>
      <c r="AK225" s="11">
        <f t="shared" si="335"/>
        <v>1127</v>
      </c>
    </row>
    <row r="226" spans="1:37" s="29" customFormat="1" x14ac:dyDescent="0.2">
      <c r="A226" s="2"/>
      <c r="B226" s="2"/>
      <c r="C226" s="2"/>
      <c r="D226" s="2"/>
      <c r="E226" s="2"/>
      <c r="F226" s="2" t="s">
        <v>181</v>
      </c>
      <c r="G226" s="2"/>
      <c r="H226" s="8"/>
      <c r="I226" s="8">
        <f>ROUND(SUM(I223:I225),5)</f>
        <v>5377</v>
      </c>
      <c r="J226" s="8"/>
      <c r="K226" s="8">
        <f>ROUND(SUM(K223:K225),5)</f>
        <v>6047</v>
      </c>
      <c r="L226" s="8"/>
      <c r="M226" s="8">
        <f>ROUND(SUM(M223:M225),5)</f>
        <v>9235</v>
      </c>
      <c r="N226" s="8"/>
      <c r="O226" s="8">
        <f>ROUND(SUM(O223:O225),5)</f>
        <v>8026.73</v>
      </c>
      <c r="P226" s="8"/>
      <c r="Q226" s="8">
        <f>ROUND(SUM(Q223:Q225),5)</f>
        <v>5810.77</v>
      </c>
      <c r="R226" s="8"/>
      <c r="S226" s="8"/>
      <c r="T226" s="8"/>
      <c r="U226" s="30">
        <f>ROUND(SUM(U223:U225),5)</f>
        <v>4018.71</v>
      </c>
      <c r="V226" s="8"/>
      <c r="W226" s="30">
        <f>SUM(W224:W225)</f>
        <v>6000</v>
      </c>
      <c r="Y226" s="75">
        <f>ROUND(SUM(Y223:Y225),5)</f>
        <v>5400</v>
      </c>
      <c r="AA226" s="8">
        <f t="shared" ref="AA226:AC226" si="336">ROUND(SUM(AA223:AA225),5)</f>
        <v>6899.3</v>
      </c>
      <c r="AB226" s="8">
        <f t="shared" si="336"/>
        <v>11996.85</v>
      </c>
      <c r="AC226" s="8">
        <f t="shared" si="336"/>
        <v>3978</v>
      </c>
      <c r="AE226" s="8">
        <f t="shared" ref="AE226" si="337">ROUND(SUM(AE223:AE225),5)</f>
        <v>-2880.59</v>
      </c>
      <c r="AF226" s="8">
        <f t="shared" ref="AF226" si="338">ROUND(SUM(AF223:AF225),5)</f>
        <v>-7978.14</v>
      </c>
      <c r="AG226" s="8">
        <f t="shared" ref="AG226" si="339">ROUND(SUM(AG223:AG225),5)</f>
        <v>40.71</v>
      </c>
      <c r="AI226" s="8">
        <f t="shared" ref="AI226:AK226" si="340">ROUND(SUM(AI223:AI225),5)</f>
        <v>-899.3</v>
      </c>
      <c r="AJ226" s="8">
        <f t="shared" si="340"/>
        <v>-5996.85</v>
      </c>
      <c r="AK226" s="8">
        <f t="shared" si="340"/>
        <v>2022</v>
      </c>
    </row>
    <row r="227" spans="1:37" s="29" customFormat="1" x14ac:dyDescent="0.2">
      <c r="A227" s="2"/>
      <c r="B227" s="2"/>
      <c r="C227" s="2"/>
      <c r="D227" s="2"/>
      <c r="E227" s="2"/>
      <c r="F227" s="2" t="s">
        <v>182</v>
      </c>
      <c r="G227" s="2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Y227" s="8"/>
      <c r="AA227" s="8"/>
      <c r="AB227" s="8"/>
      <c r="AC227" s="8"/>
      <c r="AE227" s="8"/>
      <c r="AF227" s="8"/>
      <c r="AG227" s="8"/>
      <c r="AI227" s="8"/>
      <c r="AJ227" s="8"/>
      <c r="AK227" s="8"/>
    </row>
    <row r="228" spans="1:37" s="29" customFormat="1" x14ac:dyDescent="0.2">
      <c r="A228" s="2"/>
      <c r="B228" s="2"/>
      <c r="C228" s="2"/>
      <c r="D228" s="2"/>
      <c r="E228" s="2"/>
      <c r="F228" s="2"/>
      <c r="G228" s="2" t="s">
        <v>183</v>
      </c>
      <c r="H228" s="8"/>
      <c r="I228" s="8">
        <v>1315</v>
      </c>
      <c r="J228" s="8"/>
      <c r="K228" s="8">
        <v>1138</v>
      </c>
      <c r="L228" s="8"/>
      <c r="M228" s="8">
        <v>1070</v>
      </c>
      <c r="N228" s="8"/>
      <c r="O228" s="8">
        <v>793.64</v>
      </c>
      <c r="P228" s="8"/>
      <c r="Q228" s="8">
        <v>826.41</v>
      </c>
      <c r="R228" s="8"/>
      <c r="S228" s="8"/>
      <c r="T228" s="8"/>
      <c r="U228" s="8">
        <v>0</v>
      </c>
      <c r="V228" s="8"/>
      <c r="W228" s="47">
        <v>1300</v>
      </c>
      <c r="Y228" s="79">
        <v>0</v>
      </c>
      <c r="AA228" s="8">
        <f t="shared" ref="AA228:AA231" si="341">AVERAGE(I228:Q228)</f>
        <v>1028.6100000000001</v>
      </c>
      <c r="AB228" s="8">
        <f t="shared" ref="AB228:AB231" si="342">MAX(I228:Q228)</f>
        <v>1315</v>
      </c>
      <c r="AC228" s="8">
        <f t="shared" ref="AC228:AC231" si="343">MIN(I228:Q228)</f>
        <v>793.64</v>
      </c>
      <c r="AE228" s="8">
        <f t="shared" ref="AE228:AE231" si="344">+U228-AA228</f>
        <v>-1028.6100000000001</v>
      </c>
      <c r="AF228" s="8">
        <f t="shared" ref="AF228:AF231" si="345">+U228-AB228</f>
        <v>-1315</v>
      </c>
      <c r="AG228" s="8">
        <f t="shared" ref="AG228:AG231" si="346">+U228-AC228</f>
        <v>-793.64</v>
      </c>
      <c r="AI228" s="8">
        <f t="shared" ref="AI228:AI231" si="347">+W228-AA228</f>
        <v>271.38999999999987</v>
      </c>
      <c r="AJ228" s="8">
        <f t="shared" ref="AJ228:AJ231" si="348">+W228-AB228</f>
        <v>-15</v>
      </c>
      <c r="AK228" s="8">
        <f t="shared" ref="AK228:AK231" si="349">+W228-AC228</f>
        <v>506.36</v>
      </c>
    </row>
    <row r="229" spans="1:37" s="29" customFormat="1" x14ac:dyDescent="0.2">
      <c r="A229" s="2"/>
      <c r="B229" s="2"/>
      <c r="C229" s="2"/>
      <c r="D229" s="2"/>
      <c r="E229" s="2"/>
      <c r="F229" s="2"/>
      <c r="G229" s="2" t="s">
        <v>184</v>
      </c>
      <c r="H229" s="8"/>
      <c r="I229" s="8">
        <v>2131</v>
      </c>
      <c r="J229" s="8"/>
      <c r="K229" s="8">
        <v>6804</v>
      </c>
      <c r="L229" s="8"/>
      <c r="M229" s="8">
        <v>15013</v>
      </c>
      <c r="N229" s="8"/>
      <c r="O229" s="8">
        <f>17588.3+1319.17</f>
        <v>18907.47</v>
      </c>
      <c r="P229" s="8"/>
      <c r="Q229" s="8">
        <v>7455.28</v>
      </c>
      <c r="R229" s="8"/>
      <c r="S229" s="8"/>
      <c r="T229" s="8"/>
      <c r="U229" s="8">
        <v>2000.54</v>
      </c>
      <c r="V229" s="8"/>
      <c r="W229" s="47">
        <v>13000</v>
      </c>
      <c r="Y229" s="73">
        <v>11000</v>
      </c>
      <c r="AA229" s="8">
        <f t="shared" si="341"/>
        <v>10062.15</v>
      </c>
      <c r="AB229" s="8">
        <f t="shared" si="342"/>
        <v>18907.47</v>
      </c>
      <c r="AC229" s="8">
        <f t="shared" si="343"/>
        <v>2131</v>
      </c>
      <c r="AE229" s="8">
        <f t="shared" si="344"/>
        <v>-8061.61</v>
      </c>
      <c r="AF229" s="8">
        <f t="shared" si="345"/>
        <v>-16906.93</v>
      </c>
      <c r="AG229" s="8">
        <f t="shared" si="346"/>
        <v>-130.46000000000004</v>
      </c>
      <c r="AI229" s="8">
        <f t="shared" si="347"/>
        <v>2937.8500000000004</v>
      </c>
      <c r="AJ229" s="8">
        <f t="shared" si="348"/>
        <v>-5907.4700000000012</v>
      </c>
      <c r="AK229" s="8">
        <f t="shared" si="349"/>
        <v>10869</v>
      </c>
    </row>
    <row r="230" spans="1:37" s="29" customFormat="1" x14ac:dyDescent="0.2">
      <c r="A230" s="2"/>
      <c r="B230" s="2"/>
      <c r="C230" s="2"/>
      <c r="D230" s="2"/>
      <c r="E230" s="2"/>
      <c r="F230" s="2"/>
      <c r="G230" s="2" t="s">
        <v>185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>
        <v>158</v>
      </c>
      <c r="V230" s="8"/>
      <c r="W230" s="47"/>
      <c r="Y230" s="79"/>
      <c r="AA230" s="8"/>
      <c r="AB230" s="8"/>
      <c r="AC230" s="8"/>
      <c r="AE230" s="8"/>
      <c r="AF230" s="8"/>
      <c r="AG230" s="8"/>
      <c r="AI230" s="8"/>
      <c r="AJ230" s="8"/>
      <c r="AK230" s="8"/>
    </row>
    <row r="231" spans="1:37" s="29" customFormat="1" ht="10.8" thickBot="1" x14ac:dyDescent="0.25">
      <c r="A231" s="2"/>
      <c r="B231" s="2"/>
      <c r="C231" s="2"/>
      <c r="D231" s="2"/>
      <c r="E231" s="2"/>
      <c r="F231" s="2"/>
      <c r="G231" s="2" t="s">
        <v>363</v>
      </c>
      <c r="H231" s="8"/>
      <c r="I231" s="9">
        <v>1922</v>
      </c>
      <c r="J231" s="8"/>
      <c r="K231" s="9">
        <v>3301</v>
      </c>
      <c r="L231" s="8"/>
      <c r="M231" s="9">
        <v>1489</v>
      </c>
      <c r="N231" s="8"/>
      <c r="O231" s="9">
        <v>1480.09</v>
      </c>
      <c r="P231" s="9"/>
      <c r="Q231" s="8">
        <v>331.22</v>
      </c>
      <c r="R231" s="9"/>
      <c r="S231" s="9"/>
      <c r="T231" s="8"/>
      <c r="U231" s="8">
        <v>19.989999999999998</v>
      </c>
      <c r="V231" s="8"/>
      <c r="W231" s="48">
        <v>3000</v>
      </c>
      <c r="Y231" s="81">
        <v>2000</v>
      </c>
      <c r="AA231" s="9">
        <f t="shared" si="341"/>
        <v>1704.6619999999998</v>
      </c>
      <c r="AB231" s="9">
        <f t="shared" si="342"/>
        <v>3301</v>
      </c>
      <c r="AC231" s="9">
        <f t="shared" si="343"/>
        <v>331.22</v>
      </c>
      <c r="AE231" s="9">
        <f t="shared" si="344"/>
        <v>-1684.6719999999998</v>
      </c>
      <c r="AF231" s="9">
        <f t="shared" si="345"/>
        <v>-3281.01</v>
      </c>
      <c r="AG231" s="9">
        <f t="shared" si="346"/>
        <v>-311.23</v>
      </c>
      <c r="AI231" s="9">
        <f t="shared" si="347"/>
        <v>1295.3380000000002</v>
      </c>
      <c r="AJ231" s="9">
        <f t="shared" si="348"/>
        <v>-301</v>
      </c>
      <c r="AK231" s="9">
        <f t="shared" si="349"/>
        <v>2668.7799999999997</v>
      </c>
    </row>
    <row r="232" spans="1:37" s="29" customFormat="1" ht="10.8" thickBot="1" x14ac:dyDescent="0.25">
      <c r="A232" s="2"/>
      <c r="B232" s="2"/>
      <c r="C232" s="2"/>
      <c r="D232" s="2"/>
      <c r="E232" s="2"/>
      <c r="F232" s="2" t="s">
        <v>186</v>
      </c>
      <c r="G232" s="2"/>
      <c r="H232" s="8"/>
      <c r="I232" s="10">
        <f>ROUND(SUM(I227:I231),5)</f>
        <v>5368</v>
      </c>
      <c r="J232" s="8"/>
      <c r="K232" s="10">
        <f>ROUND(SUM(K227:K231),5)</f>
        <v>11243</v>
      </c>
      <c r="L232" s="8"/>
      <c r="M232" s="10">
        <f>ROUND(SUM(M227:M231),5)</f>
        <v>17572</v>
      </c>
      <c r="N232" s="8"/>
      <c r="O232" s="10">
        <f>ROUND(SUM(O227:O231),5)</f>
        <v>21181.200000000001</v>
      </c>
      <c r="P232" s="10"/>
      <c r="Q232" s="10">
        <f>ROUND(SUM(Q227:Q231),5)</f>
        <v>8612.91</v>
      </c>
      <c r="R232" s="9"/>
      <c r="S232" s="9"/>
      <c r="T232" s="8"/>
      <c r="U232" s="34">
        <f>ROUND(SUM(U227:U231),5)</f>
        <v>2178.5300000000002</v>
      </c>
      <c r="V232" s="8"/>
      <c r="W232" s="34">
        <f>SUM(W228:W231)</f>
        <v>17300</v>
      </c>
      <c r="Y232" s="82">
        <f>ROUND(SUM(Y227:Y231),5)</f>
        <v>13000</v>
      </c>
      <c r="AA232" s="10">
        <f>ROUND(SUM(AA227:AA231),5)</f>
        <v>12795.422</v>
      </c>
      <c r="AB232" s="10">
        <f>ROUND(SUM(AB227:AB231),5)</f>
        <v>23523.47</v>
      </c>
      <c r="AC232" s="10">
        <f>ROUND(SUM(AC227:AC231),5)</f>
        <v>3255.86</v>
      </c>
      <c r="AE232" s="10">
        <f>ROUND(SUM(AE227:AE231),5)</f>
        <v>-10774.892</v>
      </c>
      <c r="AF232" s="10">
        <f>ROUND(SUM(AF227:AF231),5)</f>
        <v>-21502.94</v>
      </c>
      <c r="AG232" s="10">
        <f>ROUND(SUM(AG227:AG231),5)</f>
        <v>-1235.33</v>
      </c>
      <c r="AI232" s="10">
        <f>ROUND(SUM(AI227:AI231),5)</f>
        <v>4504.5780000000004</v>
      </c>
      <c r="AJ232" s="10">
        <f>ROUND(SUM(AJ227:AJ231),5)</f>
        <v>-6223.47</v>
      </c>
      <c r="AK232" s="10">
        <f>ROUND(SUM(AK227:AK231),5)</f>
        <v>14044.14</v>
      </c>
    </row>
    <row r="233" spans="1:37" s="29" customFormat="1" x14ac:dyDescent="0.2">
      <c r="A233" s="2"/>
      <c r="B233" s="2"/>
      <c r="C233" s="2"/>
      <c r="D233" s="2"/>
      <c r="E233" s="24" t="s">
        <v>187</v>
      </c>
      <c r="F233" s="2"/>
      <c r="G233" s="2"/>
      <c r="H233" s="8"/>
      <c r="I233" s="8">
        <f>ROUND(I210+I218+I222+I226+I232,5)</f>
        <v>81154</v>
      </c>
      <c r="J233" s="8"/>
      <c r="K233" s="8">
        <f>ROUND(K210+K218+K222+K226+K232,5)</f>
        <v>99365</v>
      </c>
      <c r="L233" s="8"/>
      <c r="M233" s="8">
        <f>ROUND(M210+M218+M222+M226+M232,5)</f>
        <v>138646</v>
      </c>
      <c r="N233" s="8"/>
      <c r="O233" s="8">
        <f>ROUND(O210+O218+O222+O226+O232,5)</f>
        <v>153171.32</v>
      </c>
      <c r="P233" s="8"/>
      <c r="Q233" s="8">
        <f>ROUND(Q210+Q218+Q222+Q226+Q232,5)</f>
        <v>100823.47</v>
      </c>
      <c r="R233" s="8"/>
      <c r="S233" s="8"/>
      <c r="T233" s="8"/>
      <c r="U233" s="30">
        <f>ROUND(U210+U218+U222+U226+U232,5)</f>
        <v>79238.429999999993</v>
      </c>
      <c r="V233" s="8"/>
      <c r="W233" s="30">
        <f>ROUND(W210+W218+W222+W226+W232,5)</f>
        <v>110405</v>
      </c>
      <c r="Y233" s="75">
        <f>ROUND(Y210+Y218+Y222+Y226+Y232,5)</f>
        <v>108766</v>
      </c>
      <c r="AA233" s="8">
        <f>ROUND(AA210+AA218+AA222+AA226+AA232,5)</f>
        <v>115698.75</v>
      </c>
      <c r="AB233" s="8">
        <f>ROUND(AB210+AB218+AB222+AB226+AB232,5)</f>
        <v>164442.01</v>
      </c>
      <c r="AC233" s="8">
        <f>ROUND(AC210+AC218+AC222+AC226+AC232,5)</f>
        <v>77391.210000000006</v>
      </c>
      <c r="AE233" s="8">
        <f>ROUND(AE210+AE218+AE222+AE226+AE232,5)</f>
        <v>-36810.22</v>
      </c>
      <c r="AF233" s="8">
        <f>ROUND(AF210+AF218+AF222+AF226+AF232,5)</f>
        <v>-89183.81</v>
      </c>
      <c r="AG233" s="8">
        <f>ROUND(AG210+AG218+AG222+AG226+AG232,5)</f>
        <v>1497.32</v>
      </c>
      <c r="AI233" s="8">
        <f>ROUND(AI210+AI218+AI222+AI226+AI232,5)</f>
        <v>-5293.75</v>
      </c>
      <c r="AJ233" s="8">
        <f>ROUND(AJ210+AJ218+AJ222+AJ226+AJ232,5)</f>
        <v>-57789.01</v>
      </c>
      <c r="AK233" s="8">
        <f>ROUND(AK210+AK218+AK222+AK226+AK232,5)</f>
        <v>33013.79</v>
      </c>
    </row>
    <row r="234" spans="1:37" s="29" customFormat="1" x14ac:dyDescent="0.2">
      <c r="A234" s="2"/>
      <c r="B234" s="2"/>
      <c r="C234" s="2"/>
      <c r="D234" s="2"/>
      <c r="E234" s="2"/>
      <c r="F234" s="2"/>
      <c r="G234" s="2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Y234" s="8"/>
      <c r="AA234" s="8"/>
      <c r="AB234" s="8"/>
      <c r="AC234" s="8"/>
      <c r="AE234" s="8"/>
      <c r="AF234" s="8"/>
      <c r="AG234" s="8"/>
      <c r="AI234" s="8"/>
      <c r="AJ234" s="8"/>
      <c r="AK234" s="8"/>
    </row>
    <row r="235" spans="1:37" s="29" customFormat="1" x14ac:dyDescent="0.2">
      <c r="A235" s="2"/>
      <c r="B235" s="2"/>
      <c r="C235" s="2"/>
      <c r="D235" s="2"/>
      <c r="E235" s="24" t="s">
        <v>188</v>
      </c>
      <c r="F235" s="2"/>
      <c r="G235" s="2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Y235" s="8"/>
      <c r="AA235" s="8"/>
      <c r="AB235" s="8"/>
      <c r="AC235" s="8"/>
      <c r="AE235" s="8"/>
      <c r="AF235" s="8"/>
      <c r="AG235" s="8"/>
      <c r="AI235" s="8"/>
      <c r="AJ235" s="8"/>
      <c r="AK235" s="8"/>
    </row>
    <row r="236" spans="1:37" s="29" customFormat="1" x14ac:dyDescent="0.2">
      <c r="A236" s="2"/>
      <c r="B236" s="2"/>
      <c r="C236" s="2"/>
      <c r="D236" s="2"/>
      <c r="E236" s="2"/>
      <c r="F236" s="2" t="s">
        <v>189</v>
      </c>
      <c r="G236" s="2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Y236" s="8"/>
      <c r="AA236" s="8"/>
      <c r="AB236" s="8"/>
      <c r="AC236" s="8"/>
      <c r="AE236" s="8"/>
      <c r="AF236" s="8"/>
      <c r="AG236" s="8"/>
      <c r="AI236" s="8"/>
      <c r="AJ236" s="8"/>
      <c r="AK236" s="8"/>
    </row>
    <row r="237" spans="1:37" s="29" customFormat="1" x14ac:dyDescent="0.2">
      <c r="A237" s="2"/>
      <c r="B237" s="2"/>
      <c r="C237" s="2"/>
      <c r="D237" s="2"/>
      <c r="E237" s="2"/>
      <c r="F237" s="2"/>
      <c r="G237" s="2" t="s">
        <v>190</v>
      </c>
      <c r="H237" s="8"/>
      <c r="I237" s="8">
        <v>53057</v>
      </c>
      <c r="J237" s="8"/>
      <c r="K237" s="8">
        <v>53544</v>
      </c>
      <c r="L237" s="8"/>
      <c r="M237" s="8">
        <v>57591</v>
      </c>
      <c r="N237" s="8"/>
      <c r="O237" s="8">
        <v>205716.39</v>
      </c>
      <c r="P237" s="8"/>
      <c r="Q237" s="8">
        <v>69949.41</v>
      </c>
      <c r="R237" s="8"/>
      <c r="S237" s="8"/>
      <c r="T237" s="8"/>
      <c r="U237" s="8">
        <v>76107.61</v>
      </c>
      <c r="V237" s="8"/>
      <c r="W237" s="46">
        <v>75870</v>
      </c>
      <c r="Y237" s="73">
        <v>83977</v>
      </c>
      <c r="Z237" s="6"/>
      <c r="AA237" s="8">
        <f t="shared" ref="AA237:AA242" si="350">AVERAGE(I237:Q237)</f>
        <v>87971.560000000012</v>
      </c>
      <c r="AB237" s="8">
        <f t="shared" ref="AB237:AB242" si="351">MAX(I237:Q237)</f>
        <v>205716.39</v>
      </c>
      <c r="AC237" s="8">
        <f t="shared" ref="AC237:AC242" si="352">MIN(I237:Q237)</f>
        <v>53057</v>
      </c>
      <c r="AE237" s="8">
        <f t="shared" ref="AE237:AE242" si="353">+U237-AA237</f>
        <v>-11863.950000000012</v>
      </c>
      <c r="AF237" s="8">
        <f t="shared" ref="AF237:AF242" si="354">+U237-AB237</f>
        <v>-129608.78000000001</v>
      </c>
      <c r="AG237" s="8">
        <f t="shared" ref="AG237:AG242" si="355">+U237-AC237</f>
        <v>23050.61</v>
      </c>
      <c r="AI237" s="8">
        <f t="shared" ref="AI237:AI242" si="356">+W237-AA237</f>
        <v>-12101.560000000012</v>
      </c>
      <c r="AJ237" s="8">
        <f t="shared" ref="AJ237:AJ242" si="357">+W237-AB237</f>
        <v>-129846.39000000001</v>
      </c>
      <c r="AK237" s="8">
        <f t="shared" ref="AK237:AK242" si="358">+W237-AC237</f>
        <v>22813</v>
      </c>
    </row>
    <row r="238" spans="1:37" s="29" customFormat="1" x14ac:dyDescent="0.2">
      <c r="A238" s="2"/>
      <c r="B238" s="2"/>
      <c r="C238" s="2"/>
      <c r="D238" s="2"/>
      <c r="E238" s="2"/>
      <c r="F238" s="2"/>
      <c r="G238" s="2" t="s">
        <v>191</v>
      </c>
      <c r="H238" s="8"/>
      <c r="I238" s="8">
        <v>4527</v>
      </c>
      <c r="J238" s="8"/>
      <c r="K238" s="8">
        <v>4593</v>
      </c>
      <c r="L238" s="8"/>
      <c r="M238" s="8">
        <v>4903</v>
      </c>
      <c r="N238" s="8"/>
      <c r="O238" s="8">
        <v>18528.79</v>
      </c>
      <c r="P238" s="8"/>
      <c r="Q238" s="8">
        <v>5861.83</v>
      </c>
      <c r="R238" s="8"/>
      <c r="S238" s="8"/>
      <c r="T238" s="8"/>
      <c r="U238" s="8">
        <v>6583.47</v>
      </c>
      <c r="V238" s="8"/>
      <c r="W238" s="46">
        <v>5804</v>
      </c>
      <c r="Y238" s="73">
        <v>6425</v>
      </c>
      <c r="Z238" s="6"/>
      <c r="AA238" s="8">
        <f t="shared" si="350"/>
        <v>7682.7240000000002</v>
      </c>
      <c r="AB238" s="8">
        <f t="shared" si="351"/>
        <v>18528.79</v>
      </c>
      <c r="AC238" s="8">
        <f t="shared" si="352"/>
        <v>4527</v>
      </c>
      <c r="AE238" s="8">
        <f t="shared" si="353"/>
        <v>-1099.2539999999999</v>
      </c>
      <c r="AF238" s="8">
        <f t="shared" si="354"/>
        <v>-11945.32</v>
      </c>
      <c r="AG238" s="8">
        <f t="shared" si="355"/>
        <v>2056.4700000000003</v>
      </c>
      <c r="AI238" s="8">
        <f t="shared" si="356"/>
        <v>-1878.7240000000002</v>
      </c>
      <c r="AJ238" s="8">
        <f t="shared" si="357"/>
        <v>-12724.79</v>
      </c>
      <c r="AK238" s="8">
        <f t="shared" si="358"/>
        <v>1277</v>
      </c>
    </row>
    <row r="239" spans="1:37" s="32" customFormat="1" x14ac:dyDescent="0.2">
      <c r="A239" s="26"/>
      <c r="B239" s="26"/>
      <c r="C239" s="26"/>
      <c r="D239" s="26"/>
      <c r="E239" s="26"/>
      <c r="F239" s="26"/>
      <c r="G239" s="26" t="s">
        <v>192</v>
      </c>
      <c r="H239" s="9"/>
      <c r="I239" s="9">
        <v>8041</v>
      </c>
      <c r="J239" s="9"/>
      <c r="K239" s="9">
        <v>8829</v>
      </c>
      <c r="L239" s="9"/>
      <c r="M239" s="9">
        <v>7750</v>
      </c>
      <c r="N239" s="9"/>
      <c r="O239" s="9">
        <v>33199.839999999997</v>
      </c>
      <c r="P239" s="9"/>
      <c r="Q239" s="8">
        <v>31695.01</v>
      </c>
      <c r="R239" s="9"/>
      <c r="S239" s="9"/>
      <c r="T239" s="9"/>
      <c r="U239" s="8">
        <v>30022.32</v>
      </c>
      <c r="V239" s="9"/>
      <c r="W239" s="50">
        <v>32012</v>
      </c>
      <c r="Y239" s="81">
        <v>32917</v>
      </c>
      <c r="Z239" s="43"/>
      <c r="AA239" s="9">
        <f t="shared" si="350"/>
        <v>17902.969999999998</v>
      </c>
      <c r="AB239" s="9">
        <f t="shared" si="351"/>
        <v>33199.839999999997</v>
      </c>
      <c r="AC239" s="9">
        <f t="shared" si="352"/>
        <v>7750</v>
      </c>
      <c r="AD239" s="29"/>
      <c r="AE239" s="9">
        <f t="shared" si="353"/>
        <v>12119.350000000002</v>
      </c>
      <c r="AF239" s="9">
        <f t="shared" si="354"/>
        <v>-3177.5199999999968</v>
      </c>
      <c r="AG239" s="9">
        <f t="shared" si="355"/>
        <v>22272.32</v>
      </c>
      <c r="AH239" s="29"/>
      <c r="AI239" s="9">
        <f t="shared" si="356"/>
        <v>14109.030000000002</v>
      </c>
      <c r="AJ239" s="9">
        <f t="shared" si="357"/>
        <v>-1187.8399999999965</v>
      </c>
      <c r="AK239" s="9">
        <f t="shared" si="358"/>
        <v>24262</v>
      </c>
    </row>
    <row r="240" spans="1:37" s="32" customFormat="1" x14ac:dyDescent="0.2">
      <c r="A240" s="26"/>
      <c r="B240" s="26"/>
      <c r="C240" s="26"/>
      <c r="D240" s="26"/>
      <c r="E240" s="26"/>
      <c r="F240" s="26"/>
      <c r="G240" s="26" t="s">
        <v>193</v>
      </c>
      <c r="H240" s="9"/>
      <c r="I240" s="9"/>
      <c r="J240" s="9"/>
      <c r="K240" s="9"/>
      <c r="L240" s="9"/>
      <c r="M240" s="9"/>
      <c r="N240" s="9"/>
      <c r="O240" s="9"/>
      <c r="P240" s="9"/>
      <c r="Q240" s="8">
        <v>1143.0999999999999</v>
      </c>
      <c r="R240" s="9"/>
      <c r="S240" s="9"/>
      <c r="T240" s="9"/>
      <c r="U240" s="8">
        <v>1125.0999999999999</v>
      </c>
      <c r="V240" s="9"/>
      <c r="W240" s="50">
        <v>1219</v>
      </c>
      <c r="Y240" s="81">
        <v>1256</v>
      </c>
      <c r="Z240" s="43"/>
      <c r="AA240" s="9">
        <f t="shared" si="350"/>
        <v>1143.0999999999999</v>
      </c>
      <c r="AB240" s="9">
        <f t="shared" si="351"/>
        <v>1143.0999999999999</v>
      </c>
      <c r="AC240" s="9">
        <f t="shared" si="352"/>
        <v>1143.0999999999999</v>
      </c>
      <c r="AD240" s="29"/>
      <c r="AE240" s="9">
        <f t="shared" si="353"/>
        <v>-18</v>
      </c>
      <c r="AF240" s="9">
        <f t="shared" si="354"/>
        <v>-18</v>
      </c>
      <c r="AG240" s="9">
        <f t="shared" si="355"/>
        <v>-18</v>
      </c>
      <c r="AH240" s="29"/>
      <c r="AI240" s="9">
        <f t="shared" si="356"/>
        <v>75.900000000000091</v>
      </c>
      <c r="AJ240" s="9">
        <f t="shared" si="357"/>
        <v>75.900000000000091</v>
      </c>
      <c r="AK240" s="9">
        <f t="shared" si="358"/>
        <v>75.900000000000091</v>
      </c>
    </row>
    <row r="241" spans="1:37" s="32" customFormat="1" x14ac:dyDescent="0.2">
      <c r="A241" s="26"/>
      <c r="B241" s="26"/>
      <c r="C241" s="26"/>
      <c r="D241" s="26"/>
      <c r="E241" s="26"/>
      <c r="F241" s="26"/>
      <c r="G241" s="2" t="s">
        <v>364</v>
      </c>
      <c r="H241" s="9"/>
      <c r="I241" s="9"/>
      <c r="J241" s="9"/>
      <c r="K241" s="9"/>
      <c r="L241" s="9"/>
      <c r="M241" s="9"/>
      <c r="N241" s="9"/>
      <c r="O241" s="9"/>
      <c r="P241" s="9"/>
      <c r="Q241" s="8"/>
      <c r="R241" s="9"/>
      <c r="S241" s="9"/>
      <c r="T241" s="9"/>
      <c r="U241" s="8">
        <v>188</v>
      </c>
      <c r="V241" s="9"/>
      <c r="W241" s="50"/>
      <c r="Y241" s="81">
        <v>200</v>
      </c>
      <c r="Z241" s="43"/>
      <c r="AA241" s="9"/>
      <c r="AB241" s="9"/>
      <c r="AC241" s="9"/>
      <c r="AD241" s="29"/>
      <c r="AE241" s="9"/>
      <c r="AF241" s="9"/>
      <c r="AG241" s="9"/>
      <c r="AH241" s="29"/>
      <c r="AI241" s="9"/>
      <c r="AJ241" s="9"/>
      <c r="AK241" s="9"/>
    </row>
    <row r="242" spans="1:37" s="29" customFormat="1" ht="10.8" thickBot="1" x14ac:dyDescent="0.25">
      <c r="A242" s="2"/>
      <c r="B242" s="2"/>
      <c r="C242" s="2"/>
      <c r="D242" s="2"/>
      <c r="E242" s="2"/>
      <c r="F242" s="2"/>
      <c r="G242" s="2" t="s">
        <v>306</v>
      </c>
      <c r="H242" s="8"/>
      <c r="I242" s="11"/>
      <c r="J242" s="8"/>
      <c r="K242" s="11"/>
      <c r="L242" s="8"/>
      <c r="M242" s="11"/>
      <c r="N242" s="8"/>
      <c r="O242" s="11"/>
      <c r="P242" s="11"/>
      <c r="Q242" s="11">
        <v>0</v>
      </c>
      <c r="R242" s="9"/>
      <c r="S242" s="9"/>
      <c r="T242" s="8"/>
      <c r="U242" s="11">
        <v>580.55999999999995</v>
      </c>
      <c r="V242" s="8"/>
      <c r="W242" s="42">
        <v>600</v>
      </c>
      <c r="Y242" s="74">
        <v>646</v>
      </c>
      <c r="Z242" s="6"/>
      <c r="AA242" s="11">
        <f t="shared" si="350"/>
        <v>0</v>
      </c>
      <c r="AB242" s="11">
        <f t="shared" si="351"/>
        <v>0</v>
      </c>
      <c r="AC242" s="11">
        <f t="shared" si="352"/>
        <v>0</v>
      </c>
      <c r="AE242" s="11">
        <f t="shared" si="353"/>
        <v>580.55999999999995</v>
      </c>
      <c r="AF242" s="11">
        <f t="shared" si="354"/>
        <v>580.55999999999995</v>
      </c>
      <c r="AG242" s="11">
        <f t="shared" si="355"/>
        <v>580.55999999999995</v>
      </c>
      <c r="AI242" s="11">
        <f t="shared" si="356"/>
        <v>600</v>
      </c>
      <c r="AJ242" s="11">
        <f t="shared" si="357"/>
        <v>600</v>
      </c>
      <c r="AK242" s="11">
        <f t="shared" si="358"/>
        <v>600</v>
      </c>
    </row>
    <row r="243" spans="1:37" s="29" customFormat="1" x14ac:dyDescent="0.2">
      <c r="A243" s="2"/>
      <c r="B243" s="2"/>
      <c r="C243" s="2"/>
      <c r="D243" s="2"/>
      <c r="E243" s="2"/>
      <c r="F243" s="2" t="s">
        <v>194</v>
      </c>
      <c r="G243" s="2"/>
      <c r="H243" s="8"/>
      <c r="I243" s="8">
        <f>ROUND(SUM(I236:I242),5)</f>
        <v>65625</v>
      </c>
      <c r="J243" s="8"/>
      <c r="K243" s="8">
        <f>ROUND(SUM(K236:K242),5)</f>
        <v>66966</v>
      </c>
      <c r="L243" s="8"/>
      <c r="M243" s="8">
        <f>ROUND(SUM(M236:M242),5)</f>
        <v>70244</v>
      </c>
      <c r="N243" s="8"/>
      <c r="O243" s="8">
        <f>ROUND(SUM(O236:O242),5)</f>
        <v>257445.02</v>
      </c>
      <c r="P243" s="8"/>
      <c r="Q243" s="8">
        <f>ROUND(SUM(Q236:Q242),5)</f>
        <v>108649.35</v>
      </c>
      <c r="R243" s="8"/>
      <c r="S243" s="8"/>
      <c r="T243" s="8"/>
      <c r="U243" s="38">
        <f>ROUND(SUM(U236:U242),5)</f>
        <v>114607.06</v>
      </c>
      <c r="V243" s="8"/>
      <c r="W243" s="38">
        <f>ROUND(SUM(W236:W242),5)</f>
        <v>115505</v>
      </c>
      <c r="Y243" s="75">
        <f>ROUND(SUM(Y236:Y242),5)</f>
        <v>125421</v>
      </c>
      <c r="Z243" s="6"/>
      <c r="AA243" s="8">
        <f>ROUND(SUM(AA236:AA242),5)</f>
        <v>114700.35400000001</v>
      </c>
      <c r="AB243" s="8">
        <f>ROUND(SUM(AB236:AB242),5)</f>
        <v>258588.12</v>
      </c>
      <c r="AC243" s="8">
        <f>ROUND(SUM(AC236:AC242),5)</f>
        <v>66477.100000000006</v>
      </c>
      <c r="AE243" s="8">
        <f>ROUND(SUM(AE236:AE242),5)</f>
        <v>-281.29399999999998</v>
      </c>
      <c r="AF243" s="8">
        <f>ROUND(SUM(AF236:AF242),5)</f>
        <v>-144169.06</v>
      </c>
      <c r="AG243" s="8">
        <f>ROUND(SUM(AG236:AG242),5)</f>
        <v>47941.96</v>
      </c>
      <c r="AH243" s="8"/>
      <c r="AI243" s="8">
        <f>ROUND(SUM(AI236:AI242),5)</f>
        <v>804.64599999999996</v>
      </c>
      <c r="AJ243" s="8">
        <f>ROUND(SUM(AJ236:AJ242),5)</f>
        <v>-143083.12</v>
      </c>
      <c r="AK243" s="8">
        <f>ROUND(SUM(AK236:AK242),5)</f>
        <v>49027.9</v>
      </c>
    </row>
    <row r="244" spans="1:37" s="29" customFormat="1" x14ac:dyDescent="0.2">
      <c r="A244" s="2"/>
      <c r="B244" s="2"/>
      <c r="C244" s="2"/>
      <c r="D244" s="2"/>
      <c r="E244" s="2"/>
      <c r="F244" s="51" t="s">
        <v>333</v>
      </c>
      <c r="G244" s="2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Y244" s="8"/>
      <c r="AA244" s="8"/>
      <c r="AB244" s="8"/>
      <c r="AC244" s="8"/>
      <c r="AE244" s="8"/>
      <c r="AF244" s="8"/>
      <c r="AG244" s="8"/>
      <c r="AI244" s="8"/>
      <c r="AJ244" s="8"/>
      <c r="AK244" s="8"/>
    </row>
    <row r="245" spans="1:37" s="29" customFormat="1" x14ac:dyDescent="0.2">
      <c r="A245" s="2"/>
      <c r="B245" s="2"/>
      <c r="C245" s="2"/>
      <c r="D245" s="2"/>
      <c r="E245" s="2"/>
      <c r="F245" s="2"/>
      <c r="G245" s="2" t="s">
        <v>195</v>
      </c>
      <c r="H245" s="8"/>
      <c r="I245" s="8"/>
      <c r="J245" s="8"/>
      <c r="K245" s="8"/>
      <c r="L245" s="8"/>
      <c r="M245" s="8"/>
      <c r="N245" s="8"/>
      <c r="O245" s="8"/>
      <c r="P245" s="8"/>
      <c r="Q245" s="8">
        <v>86346.12</v>
      </c>
      <c r="R245" s="8"/>
      <c r="S245" s="8"/>
      <c r="T245" s="8"/>
      <c r="U245" s="8">
        <v>55309.99</v>
      </c>
      <c r="V245" s="8"/>
      <c r="W245" s="46">
        <v>77250</v>
      </c>
      <c r="Y245" s="73">
        <v>82500</v>
      </c>
      <c r="AA245" s="8">
        <f t="shared" ref="AA245:AA248" si="359">AVERAGE(I245:Q245)</f>
        <v>86346.12</v>
      </c>
      <c r="AB245" s="8">
        <f t="shared" ref="AB245:AB248" si="360">MAX(I245:Q245)</f>
        <v>86346.12</v>
      </c>
      <c r="AC245" s="8">
        <f t="shared" ref="AC245:AC248" si="361">MIN(I245:Q245)</f>
        <v>86346.12</v>
      </c>
      <c r="AE245" s="8">
        <f t="shared" ref="AE245:AE248" si="362">+U245-AA245</f>
        <v>-31036.129999999997</v>
      </c>
      <c r="AF245" s="8">
        <f t="shared" ref="AF245:AF248" si="363">+U245-AB245</f>
        <v>-31036.129999999997</v>
      </c>
      <c r="AG245" s="8">
        <f t="shared" ref="AG245:AG248" si="364">+U245-AC245</f>
        <v>-31036.129999999997</v>
      </c>
      <c r="AI245" s="8">
        <f t="shared" ref="AI245:AI248" si="365">+W245-AA245</f>
        <v>-9096.1199999999953</v>
      </c>
      <c r="AJ245" s="8">
        <f t="shared" ref="AJ245:AJ248" si="366">+W245-AB245</f>
        <v>-9096.1199999999953</v>
      </c>
      <c r="AK245" s="8">
        <f t="shared" ref="AK245:AK248" si="367">+W245-AC245</f>
        <v>-9096.1199999999953</v>
      </c>
    </row>
    <row r="246" spans="1:37" s="29" customFormat="1" x14ac:dyDescent="0.2">
      <c r="A246" s="2"/>
      <c r="B246" s="2"/>
      <c r="C246" s="2"/>
      <c r="D246" s="2"/>
      <c r="E246" s="2"/>
      <c r="F246" s="2"/>
      <c r="G246" s="2" t="s">
        <v>196</v>
      </c>
      <c r="H246" s="8"/>
      <c r="I246" s="8"/>
      <c r="J246" s="8"/>
      <c r="K246" s="8"/>
      <c r="L246" s="8"/>
      <c r="M246" s="8"/>
      <c r="N246" s="8"/>
      <c r="O246" s="8"/>
      <c r="P246" s="8"/>
      <c r="Q246" s="8">
        <v>7892.36</v>
      </c>
      <c r="R246" s="8"/>
      <c r="S246" s="8"/>
      <c r="T246" s="8"/>
      <c r="U246" s="8">
        <v>5184.16</v>
      </c>
      <c r="V246" s="8"/>
      <c r="W246" s="46">
        <v>5910</v>
      </c>
      <c r="Y246" s="73">
        <v>6312</v>
      </c>
      <c r="AA246" s="8">
        <f t="shared" si="359"/>
        <v>7892.36</v>
      </c>
      <c r="AB246" s="8">
        <f t="shared" si="360"/>
        <v>7892.36</v>
      </c>
      <c r="AC246" s="8">
        <f t="shared" si="361"/>
        <v>7892.36</v>
      </c>
      <c r="AE246" s="8">
        <f t="shared" si="362"/>
        <v>-2708.2</v>
      </c>
      <c r="AF246" s="8">
        <f t="shared" si="363"/>
        <v>-2708.2</v>
      </c>
      <c r="AG246" s="8">
        <f t="shared" si="364"/>
        <v>-2708.2</v>
      </c>
      <c r="AI246" s="8">
        <f t="shared" si="365"/>
        <v>-1982.3599999999997</v>
      </c>
      <c r="AJ246" s="8">
        <f t="shared" si="366"/>
        <v>-1982.3599999999997</v>
      </c>
      <c r="AK246" s="8">
        <f t="shared" si="367"/>
        <v>-1982.3599999999997</v>
      </c>
    </row>
    <row r="247" spans="1:37" s="32" customFormat="1" x14ac:dyDescent="0.2">
      <c r="A247" s="26"/>
      <c r="B247" s="26"/>
      <c r="C247" s="26"/>
      <c r="D247" s="26"/>
      <c r="E247" s="26"/>
      <c r="F247" s="26"/>
      <c r="G247" s="26" t="s">
        <v>197</v>
      </c>
      <c r="H247" s="9"/>
      <c r="I247" s="9"/>
      <c r="J247" s="9"/>
      <c r="K247" s="9"/>
      <c r="L247" s="9"/>
      <c r="M247" s="9"/>
      <c r="N247" s="9"/>
      <c r="O247" s="9"/>
      <c r="P247" s="9"/>
      <c r="Q247" s="8">
        <v>283.92</v>
      </c>
      <c r="R247" s="9"/>
      <c r="S247" s="9"/>
      <c r="T247" s="9"/>
      <c r="U247" s="8">
        <v>698.49</v>
      </c>
      <c r="V247" s="9"/>
      <c r="W247" s="50">
        <v>300</v>
      </c>
      <c r="Y247" s="81">
        <v>700</v>
      </c>
      <c r="AA247" s="9">
        <f t="shared" si="359"/>
        <v>283.92</v>
      </c>
      <c r="AB247" s="9">
        <f t="shared" si="360"/>
        <v>283.92</v>
      </c>
      <c r="AC247" s="9">
        <f t="shared" si="361"/>
        <v>283.92</v>
      </c>
      <c r="AD247" s="29"/>
      <c r="AE247" s="9">
        <f t="shared" si="362"/>
        <v>414.57</v>
      </c>
      <c r="AF247" s="9">
        <f t="shared" si="363"/>
        <v>414.57</v>
      </c>
      <c r="AG247" s="9">
        <f t="shared" si="364"/>
        <v>414.57</v>
      </c>
      <c r="AH247" s="29"/>
      <c r="AI247" s="9">
        <f t="shared" si="365"/>
        <v>16.079999999999984</v>
      </c>
      <c r="AJ247" s="9">
        <f t="shared" si="366"/>
        <v>16.079999999999984</v>
      </c>
      <c r="AK247" s="9">
        <f t="shared" si="367"/>
        <v>16.079999999999984</v>
      </c>
    </row>
    <row r="248" spans="1:37" s="29" customFormat="1" ht="10.8" thickBot="1" x14ac:dyDescent="0.25">
      <c r="A248" s="2"/>
      <c r="B248" s="2"/>
      <c r="C248" s="2"/>
      <c r="D248" s="2"/>
      <c r="E248" s="2"/>
      <c r="F248" s="2"/>
      <c r="G248" s="2" t="s">
        <v>307</v>
      </c>
      <c r="H248" s="8"/>
      <c r="I248" s="11"/>
      <c r="J248" s="8"/>
      <c r="K248" s="11"/>
      <c r="L248" s="8"/>
      <c r="M248" s="11"/>
      <c r="N248" s="8"/>
      <c r="O248" s="11"/>
      <c r="P248" s="11"/>
      <c r="Q248" s="11">
        <v>0</v>
      </c>
      <c r="R248" s="9"/>
      <c r="S248" s="9"/>
      <c r="T248" s="8"/>
      <c r="U248" s="11">
        <v>604.70000000000005</v>
      </c>
      <c r="V248" s="8"/>
      <c r="W248" s="42">
        <v>625</v>
      </c>
      <c r="Y248" s="74">
        <v>652</v>
      </c>
      <c r="AA248" s="11">
        <f t="shared" si="359"/>
        <v>0</v>
      </c>
      <c r="AB248" s="11">
        <f t="shared" si="360"/>
        <v>0</v>
      </c>
      <c r="AC248" s="11">
        <f t="shared" si="361"/>
        <v>0</v>
      </c>
      <c r="AE248" s="11">
        <f t="shared" si="362"/>
        <v>604.70000000000005</v>
      </c>
      <c r="AF248" s="11">
        <f t="shared" si="363"/>
        <v>604.70000000000005</v>
      </c>
      <c r="AG248" s="11">
        <f t="shared" si="364"/>
        <v>604.70000000000005</v>
      </c>
      <c r="AI248" s="11">
        <f t="shared" si="365"/>
        <v>625</v>
      </c>
      <c r="AJ248" s="11">
        <f t="shared" si="366"/>
        <v>625</v>
      </c>
      <c r="AK248" s="11">
        <f t="shared" si="367"/>
        <v>625</v>
      </c>
    </row>
    <row r="249" spans="1:37" s="29" customFormat="1" x14ac:dyDescent="0.2">
      <c r="A249" s="2"/>
      <c r="B249" s="2"/>
      <c r="C249" s="2"/>
      <c r="D249" s="2"/>
      <c r="E249" s="2"/>
      <c r="F249" s="2" t="s">
        <v>198</v>
      </c>
      <c r="G249" s="2"/>
      <c r="H249" s="8"/>
      <c r="I249" s="8">
        <f>ROUND(SUM(I244:I248),5)</f>
        <v>0</v>
      </c>
      <c r="J249" s="8"/>
      <c r="K249" s="8">
        <f>ROUND(SUM(K244:K248),5)</f>
        <v>0</v>
      </c>
      <c r="L249" s="8"/>
      <c r="M249" s="8">
        <f>ROUND(SUM(M244:M248),5)</f>
        <v>0</v>
      </c>
      <c r="N249" s="8"/>
      <c r="O249" s="8">
        <f>ROUND(SUM(O244:O248),5)</f>
        <v>0</v>
      </c>
      <c r="P249" s="8"/>
      <c r="Q249" s="8">
        <f>ROUND(SUM(Q244:Q248),5)</f>
        <v>94522.4</v>
      </c>
      <c r="R249" s="8"/>
      <c r="S249" s="8"/>
      <c r="T249" s="8"/>
      <c r="U249" s="38">
        <f>ROUND(SUM(U244:U248),5)</f>
        <v>61797.34</v>
      </c>
      <c r="V249" s="8"/>
      <c r="W249" s="38">
        <f>SUM(W245:W248)</f>
        <v>84085</v>
      </c>
      <c r="Y249" s="75">
        <f>ROUND(SUM(Y244:Y248),5)</f>
        <v>90164</v>
      </c>
      <c r="AA249" s="8">
        <f>ROUND(SUM(AA244:AA248),5)</f>
        <v>94522.4</v>
      </c>
      <c r="AB249" s="8">
        <f>ROUND(SUM(AB244:AB248),5)</f>
        <v>94522.4</v>
      </c>
      <c r="AC249" s="8">
        <f>ROUND(SUM(AC244:AC248),5)</f>
        <v>94522.4</v>
      </c>
      <c r="AE249" s="8">
        <f>ROUND(SUM(AE244:AE248),5)</f>
        <v>-32725.06</v>
      </c>
      <c r="AF249" s="8">
        <f>ROUND(SUM(AF244:AF248),5)</f>
        <v>-32725.06</v>
      </c>
      <c r="AG249" s="8">
        <f>ROUND(SUM(AG244:AG248),5)</f>
        <v>-32725.06</v>
      </c>
      <c r="AI249" s="8">
        <f>ROUND(SUM(AI244:AI248),5)</f>
        <v>-10437.4</v>
      </c>
      <c r="AJ249" s="8">
        <f>ROUND(SUM(AJ244:AJ248),5)</f>
        <v>-10437.4</v>
      </c>
      <c r="AK249" s="8">
        <f>ROUND(SUM(AK244:AK248),5)</f>
        <v>-10437.4</v>
      </c>
    </row>
    <row r="250" spans="1:37" s="29" customFormat="1" x14ac:dyDescent="0.2">
      <c r="A250" s="2"/>
      <c r="B250" s="2"/>
      <c r="C250" s="2"/>
      <c r="D250" s="2"/>
      <c r="E250" s="2"/>
      <c r="F250" s="2" t="s">
        <v>199</v>
      </c>
      <c r="G250" s="2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Y250" s="8"/>
      <c r="AA250" s="8"/>
      <c r="AB250" s="8"/>
      <c r="AC250" s="8"/>
      <c r="AE250" s="8"/>
      <c r="AF250" s="8"/>
      <c r="AG250" s="8"/>
      <c r="AI250" s="8"/>
      <c r="AJ250" s="8"/>
      <c r="AK250" s="8"/>
    </row>
    <row r="251" spans="1:37" s="29" customFormat="1" x14ac:dyDescent="0.2">
      <c r="A251" s="2"/>
      <c r="B251" s="2"/>
      <c r="C251" s="2"/>
      <c r="D251" s="2"/>
      <c r="E251" s="2"/>
      <c r="F251" s="2"/>
      <c r="G251" s="2" t="s">
        <v>200</v>
      </c>
      <c r="H251" s="8"/>
      <c r="I251" s="8">
        <v>684</v>
      </c>
      <c r="J251" s="8"/>
      <c r="K251" s="8">
        <v>655</v>
      </c>
      <c r="L251" s="8"/>
      <c r="M251" s="8">
        <v>1198</v>
      </c>
      <c r="N251" s="8"/>
      <c r="O251" s="8">
        <v>6712.46</v>
      </c>
      <c r="P251" s="8"/>
      <c r="Q251" s="8">
        <v>12162.82</v>
      </c>
      <c r="R251" s="8"/>
      <c r="S251" s="8"/>
      <c r="T251" s="8"/>
      <c r="U251" s="8">
        <v>11489.79</v>
      </c>
      <c r="V251" s="8"/>
      <c r="W251" s="47">
        <v>13000</v>
      </c>
      <c r="Y251" s="73">
        <v>12000</v>
      </c>
      <c r="AA251" s="8">
        <f t="shared" ref="AA251:AA254" si="368">AVERAGE(I251:Q251)</f>
        <v>4282.4560000000001</v>
      </c>
      <c r="AB251" s="8">
        <f t="shared" ref="AB251:AB254" si="369">MAX(I251:Q251)</f>
        <v>12162.82</v>
      </c>
      <c r="AC251" s="8">
        <f t="shared" ref="AC251:AC254" si="370">MIN(I251:Q251)</f>
        <v>655</v>
      </c>
      <c r="AE251" s="8">
        <f t="shared" ref="AE251:AE254" si="371">+U251-AA251</f>
        <v>7207.3340000000007</v>
      </c>
      <c r="AF251" s="8">
        <f t="shared" ref="AF251:AF254" si="372">+U251-AB251</f>
        <v>-673.02999999999884</v>
      </c>
      <c r="AG251" s="8">
        <f t="shared" ref="AG251:AG254" si="373">+U251-AC251</f>
        <v>10834.79</v>
      </c>
      <c r="AI251" s="8">
        <f t="shared" ref="AI251:AI254" si="374">+W251-AA251</f>
        <v>8717.5439999999999</v>
      </c>
      <c r="AJ251" s="8">
        <f t="shared" ref="AJ251:AJ254" si="375">+W251-AB251</f>
        <v>837.18000000000029</v>
      </c>
      <c r="AK251" s="8">
        <f t="shared" ref="AK251:AK254" si="376">+W251-AC251</f>
        <v>12345</v>
      </c>
    </row>
    <row r="252" spans="1:37" s="29" customFormat="1" x14ac:dyDescent="0.2">
      <c r="A252" s="2"/>
      <c r="B252" s="2"/>
      <c r="C252" s="2"/>
      <c r="D252" s="2"/>
      <c r="E252" s="2"/>
      <c r="F252" s="2"/>
      <c r="G252" s="2" t="s">
        <v>201</v>
      </c>
      <c r="H252" s="8"/>
      <c r="I252" s="8"/>
      <c r="J252" s="8"/>
      <c r="K252" s="8"/>
      <c r="L252" s="8"/>
      <c r="M252" s="8"/>
      <c r="N252" s="8"/>
      <c r="O252" s="8"/>
      <c r="P252" s="8"/>
      <c r="Q252" s="8">
        <v>1150</v>
      </c>
      <c r="R252" s="8"/>
      <c r="S252" s="8"/>
      <c r="T252" s="8"/>
      <c r="U252" s="8">
        <v>0</v>
      </c>
      <c r="V252" s="8"/>
      <c r="W252" s="47">
        <v>450</v>
      </c>
      <c r="Y252" s="73">
        <v>0</v>
      </c>
      <c r="AA252" s="8">
        <f t="shared" si="368"/>
        <v>1150</v>
      </c>
      <c r="AB252" s="8">
        <f t="shared" si="369"/>
        <v>1150</v>
      </c>
      <c r="AC252" s="8">
        <f t="shared" si="370"/>
        <v>1150</v>
      </c>
      <c r="AE252" s="8">
        <f t="shared" si="371"/>
        <v>-1150</v>
      </c>
      <c r="AF252" s="8">
        <f t="shared" si="372"/>
        <v>-1150</v>
      </c>
      <c r="AG252" s="8">
        <f t="shared" si="373"/>
        <v>-1150</v>
      </c>
      <c r="AI252" s="8">
        <f t="shared" si="374"/>
        <v>-700</v>
      </c>
      <c r="AJ252" s="8">
        <f t="shared" si="375"/>
        <v>-700</v>
      </c>
      <c r="AK252" s="8">
        <f t="shared" si="376"/>
        <v>-700</v>
      </c>
    </row>
    <row r="253" spans="1:37" s="29" customFormat="1" x14ac:dyDescent="0.2">
      <c r="A253" s="2"/>
      <c r="B253" s="2"/>
      <c r="C253" s="2"/>
      <c r="D253" s="2"/>
      <c r="E253" s="2"/>
      <c r="F253" s="2"/>
      <c r="G253" s="2" t="s">
        <v>202</v>
      </c>
      <c r="H253" s="8"/>
      <c r="I253" s="8"/>
      <c r="J253" s="8"/>
      <c r="K253" s="8"/>
      <c r="L253" s="8"/>
      <c r="M253" s="8"/>
      <c r="N253" s="8"/>
      <c r="O253" s="8"/>
      <c r="P253" s="8"/>
      <c r="Q253" s="8">
        <v>411</v>
      </c>
      <c r="R253" s="8"/>
      <c r="S253" s="8"/>
      <c r="T253" s="8"/>
      <c r="U253" s="8">
        <v>432.89</v>
      </c>
      <c r="V253" s="8"/>
      <c r="W253" s="47">
        <v>500</v>
      </c>
      <c r="Y253" s="73">
        <v>450</v>
      </c>
      <c r="AA253" s="8">
        <f t="shared" si="368"/>
        <v>411</v>
      </c>
      <c r="AB253" s="8">
        <f t="shared" si="369"/>
        <v>411</v>
      </c>
      <c r="AC253" s="8">
        <f t="shared" si="370"/>
        <v>411</v>
      </c>
      <c r="AE253" s="8">
        <f t="shared" si="371"/>
        <v>21.889999999999986</v>
      </c>
      <c r="AF253" s="8">
        <f t="shared" si="372"/>
        <v>21.889999999999986</v>
      </c>
      <c r="AG253" s="8">
        <f t="shared" si="373"/>
        <v>21.889999999999986</v>
      </c>
      <c r="AI253" s="8">
        <f t="shared" si="374"/>
        <v>89</v>
      </c>
      <c r="AJ253" s="8">
        <f t="shared" si="375"/>
        <v>89</v>
      </c>
      <c r="AK253" s="8">
        <f t="shared" si="376"/>
        <v>89</v>
      </c>
    </row>
    <row r="254" spans="1:37" s="29" customFormat="1" ht="10.8" thickBot="1" x14ac:dyDescent="0.25">
      <c r="A254" s="2"/>
      <c r="B254" s="2"/>
      <c r="C254" s="2"/>
      <c r="D254" s="2"/>
      <c r="E254" s="2"/>
      <c r="F254" s="2"/>
      <c r="G254" s="2" t="s">
        <v>203</v>
      </c>
      <c r="H254" s="8"/>
      <c r="I254" s="11"/>
      <c r="J254" s="8"/>
      <c r="K254" s="11"/>
      <c r="L254" s="8"/>
      <c r="M254" s="11"/>
      <c r="N254" s="8"/>
      <c r="O254" s="11"/>
      <c r="P254" s="11"/>
      <c r="Q254" s="11">
        <v>4481.8100000000004</v>
      </c>
      <c r="R254" s="9"/>
      <c r="S254" s="9"/>
      <c r="T254" s="8"/>
      <c r="U254" s="11">
        <v>3092.74</v>
      </c>
      <c r="V254" s="8"/>
      <c r="W254" s="39">
        <v>1200</v>
      </c>
      <c r="Y254" s="74">
        <v>1200</v>
      </c>
      <c r="AA254" s="11">
        <f t="shared" si="368"/>
        <v>4481.8100000000004</v>
      </c>
      <c r="AB254" s="11">
        <f t="shared" si="369"/>
        <v>4481.8100000000004</v>
      </c>
      <c r="AC254" s="11">
        <f t="shared" si="370"/>
        <v>4481.8100000000004</v>
      </c>
      <c r="AE254" s="11">
        <f t="shared" si="371"/>
        <v>-1389.0700000000006</v>
      </c>
      <c r="AF254" s="11">
        <f t="shared" si="372"/>
        <v>-1389.0700000000006</v>
      </c>
      <c r="AG254" s="11">
        <f t="shared" si="373"/>
        <v>-1389.0700000000006</v>
      </c>
      <c r="AI254" s="11">
        <f t="shared" si="374"/>
        <v>-3281.8100000000004</v>
      </c>
      <c r="AJ254" s="11">
        <f t="shared" si="375"/>
        <v>-3281.8100000000004</v>
      </c>
      <c r="AK254" s="11">
        <f t="shared" si="376"/>
        <v>-3281.8100000000004</v>
      </c>
    </row>
    <row r="255" spans="1:37" s="29" customFormat="1" x14ac:dyDescent="0.2">
      <c r="A255" s="2"/>
      <c r="B255" s="2"/>
      <c r="C255" s="2"/>
      <c r="D255" s="2"/>
      <c r="E255" s="2"/>
      <c r="F255" s="2" t="s">
        <v>204</v>
      </c>
      <c r="G255" s="2"/>
      <c r="H255" s="8"/>
      <c r="I255" s="8">
        <f>ROUND(SUM(I250:I254),5)</f>
        <v>684</v>
      </c>
      <c r="J255" s="8"/>
      <c r="K255" s="8">
        <f>ROUND(SUM(K250:K254),5)</f>
        <v>655</v>
      </c>
      <c r="L255" s="8"/>
      <c r="M255" s="8">
        <f>ROUND(SUM(M250:M254),5)</f>
        <v>1198</v>
      </c>
      <c r="N255" s="8"/>
      <c r="O255" s="8">
        <f>ROUND(SUM(O250:O254),5)</f>
        <v>6712.46</v>
      </c>
      <c r="P255" s="8"/>
      <c r="Q255" s="8">
        <f>ROUND(SUM(Q250:Q254),5)</f>
        <v>18205.63</v>
      </c>
      <c r="R255" s="8"/>
      <c r="S255" s="8"/>
      <c r="T255" s="8"/>
      <c r="U255" s="30">
        <f>ROUND(SUM(U250:U254),5)</f>
        <v>15015.42</v>
      </c>
      <c r="V255" s="8"/>
      <c r="W255" s="30">
        <f>SUM(W251:W254)</f>
        <v>15150</v>
      </c>
      <c r="Y255" s="75">
        <f>ROUND(SUM(Y250:Y254),5)</f>
        <v>13650</v>
      </c>
      <c r="AA255" s="8">
        <f t="shared" ref="AA255:AC255" si="377">ROUND(SUM(AA250:AA254),5)</f>
        <v>10325.266</v>
      </c>
      <c r="AB255" s="8">
        <f t="shared" si="377"/>
        <v>18205.63</v>
      </c>
      <c r="AC255" s="8">
        <f t="shared" si="377"/>
        <v>6697.81</v>
      </c>
      <c r="AE255" s="8">
        <f t="shared" ref="AE255" si="378">ROUND(SUM(AE250:AE254),5)</f>
        <v>4690.1540000000005</v>
      </c>
      <c r="AF255" s="8">
        <f t="shared" ref="AF255" si="379">ROUND(SUM(AF250:AF254),5)</f>
        <v>-3190.21</v>
      </c>
      <c r="AG255" s="8">
        <f t="shared" ref="AG255" si="380">ROUND(SUM(AG250:AG254),5)</f>
        <v>8317.61</v>
      </c>
      <c r="AI255" s="8">
        <f t="shared" ref="AI255:AK255" si="381">ROUND(SUM(AI250:AI254),5)</f>
        <v>4824.7340000000004</v>
      </c>
      <c r="AJ255" s="8">
        <f t="shared" si="381"/>
        <v>-3055.63</v>
      </c>
      <c r="AK255" s="8">
        <f t="shared" si="381"/>
        <v>8452.19</v>
      </c>
    </row>
    <row r="256" spans="1:37" s="29" customFormat="1" x14ac:dyDescent="0.2">
      <c r="A256" s="2"/>
      <c r="B256" s="2"/>
      <c r="C256" s="2"/>
      <c r="D256" s="2"/>
      <c r="E256" s="2"/>
      <c r="F256" s="2" t="s">
        <v>205</v>
      </c>
      <c r="G256" s="2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Y256" s="8"/>
      <c r="AA256" s="8"/>
      <c r="AB256" s="8"/>
      <c r="AC256" s="8"/>
      <c r="AE256" s="8"/>
      <c r="AF256" s="8"/>
      <c r="AG256" s="8"/>
      <c r="AI256" s="8"/>
      <c r="AJ256" s="8"/>
      <c r="AK256" s="8"/>
    </row>
    <row r="257" spans="1:37" s="29" customFormat="1" x14ac:dyDescent="0.2">
      <c r="A257" s="2"/>
      <c r="B257" s="2"/>
      <c r="C257" s="2"/>
      <c r="D257" s="2"/>
      <c r="E257" s="2"/>
      <c r="F257" s="2"/>
      <c r="G257" s="2" t="s">
        <v>206</v>
      </c>
      <c r="H257" s="8"/>
      <c r="I257" s="8">
        <v>1826</v>
      </c>
      <c r="J257" s="8"/>
      <c r="K257" s="8">
        <v>1543</v>
      </c>
      <c r="L257" s="8"/>
      <c r="M257" s="8">
        <v>1339</v>
      </c>
      <c r="N257" s="8"/>
      <c r="O257" s="8">
        <v>1630.07</v>
      </c>
      <c r="P257" s="8"/>
      <c r="Q257" s="8">
        <v>67.3</v>
      </c>
      <c r="R257" s="8"/>
      <c r="S257" s="8"/>
      <c r="T257" s="8"/>
      <c r="U257" s="8">
        <v>270.89</v>
      </c>
      <c r="V257" s="8"/>
      <c r="W257" s="46">
        <v>1200</v>
      </c>
      <c r="Y257" s="73">
        <v>300</v>
      </c>
      <c r="AA257" s="8">
        <f t="shared" ref="AA257:AA259" si="382">AVERAGE(I257:Q257)</f>
        <v>1281.0740000000001</v>
      </c>
      <c r="AB257" s="8">
        <f t="shared" ref="AB257:AB259" si="383">MAX(I257:Q257)</f>
        <v>1826</v>
      </c>
      <c r="AC257" s="8">
        <f t="shared" ref="AC257:AC259" si="384">MIN(I257:Q257)</f>
        <v>67.3</v>
      </c>
      <c r="AE257" s="8">
        <f t="shared" ref="AE257:AE259" si="385">+U257-AA257</f>
        <v>-1010.1840000000001</v>
      </c>
      <c r="AF257" s="8">
        <f t="shared" ref="AF257:AF259" si="386">+U257-AB257</f>
        <v>-1555.1100000000001</v>
      </c>
      <c r="AG257" s="8">
        <f t="shared" ref="AG257:AG259" si="387">+U257-AC257</f>
        <v>203.58999999999997</v>
      </c>
      <c r="AI257" s="8">
        <f t="shared" ref="AI257:AI259" si="388">+W257-AA257</f>
        <v>-81.074000000000069</v>
      </c>
      <c r="AJ257" s="8">
        <f t="shared" ref="AJ257:AJ259" si="389">+W257-AB257</f>
        <v>-626</v>
      </c>
      <c r="AK257" s="8">
        <f t="shared" ref="AK257:AK259" si="390">+W257-AC257</f>
        <v>1132.7</v>
      </c>
    </row>
    <row r="258" spans="1:37" s="29" customFormat="1" x14ac:dyDescent="0.2">
      <c r="A258" s="2"/>
      <c r="B258" s="2"/>
      <c r="C258" s="2"/>
      <c r="D258" s="2"/>
      <c r="E258" s="2"/>
      <c r="F258" s="2"/>
      <c r="G258" s="2" t="s">
        <v>207</v>
      </c>
      <c r="H258" s="8"/>
      <c r="I258" s="8"/>
      <c r="J258" s="8"/>
      <c r="K258" s="8"/>
      <c r="L258" s="8"/>
      <c r="M258" s="8"/>
      <c r="N258" s="8"/>
      <c r="O258" s="8"/>
      <c r="P258" s="8"/>
      <c r="Q258" s="8">
        <v>123.24</v>
      </c>
      <c r="R258" s="8"/>
      <c r="S258" s="8"/>
      <c r="T258" s="8"/>
      <c r="U258" s="8">
        <v>0</v>
      </c>
      <c r="V258" s="8"/>
      <c r="W258" s="47">
        <v>150</v>
      </c>
      <c r="Y258" s="73">
        <v>150</v>
      </c>
      <c r="AA258" s="8">
        <f t="shared" si="382"/>
        <v>123.24</v>
      </c>
      <c r="AB258" s="8">
        <f t="shared" si="383"/>
        <v>123.24</v>
      </c>
      <c r="AC258" s="8">
        <f t="shared" si="384"/>
        <v>123.24</v>
      </c>
      <c r="AE258" s="8">
        <f t="shared" si="385"/>
        <v>-123.24</v>
      </c>
      <c r="AF258" s="8">
        <f t="shared" si="386"/>
        <v>-123.24</v>
      </c>
      <c r="AG258" s="8">
        <f t="shared" si="387"/>
        <v>-123.24</v>
      </c>
      <c r="AI258" s="8">
        <f t="shared" si="388"/>
        <v>26.760000000000005</v>
      </c>
      <c r="AJ258" s="8">
        <f t="shared" si="389"/>
        <v>26.760000000000005</v>
      </c>
      <c r="AK258" s="8">
        <f t="shared" si="390"/>
        <v>26.760000000000005</v>
      </c>
    </row>
    <row r="259" spans="1:37" s="29" customFormat="1" ht="10.8" thickBot="1" x14ac:dyDescent="0.25">
      <c r="A259" s="2"/>
      <c r="B259" s="2"/>
      <c r="C259" s="2"/>
      <c r="D259" s="2"/>
      <c r="E259" s="2"/>
      <c r="F259" s="2"/>
      <c r="G259" s="2" t="s">
        <v>208</v>
      </c>
      <c r="H259" s="8"/>
      <c r="I259" s="11"/>
      <c r="J259" s="8"/>
      <c r="K259" s="11"/>
      <c r="L259" s="8"/>
      <c r="M259" s="11"/>
      <c r="N259" s="8"/>
      <c r="O259" s="11">
        <v>335.98</v>
      </c>
      <c r="P259" s="11"/>
      <c r="Q259" s="11">
        <v>104</v>
      </c>
      <c r="R259" s="9"/>
      <c r="S259" s="9"/>
      <c r="T259" s="8"/>
      <c r="U259" s="11">
        <v>522.16</v>
      </c>
      <c r="V259" s="8"/>
      <c r="W259" s="42">
        <v>300</v>
      </c>
      <c r="Y259" s="74">
        <v>300</v>
      </c>
      <c r="AA259" s="11">
        <f t="shared" si="382"/>
        <v>219.99</v>
      </c>
      <c r="AB259" s="11">
        <f t="shared" si="383"/>
        <v>335.98</v>
      </c>
      <c r="AC259" s="11">
        <f t="shared" si="384"/>
        <v>104</v>
      </c>
      <c r="AE259" s="11">
        <f t="shared" si="385"/>
        <v>302.16999999999996</v>
      </c>
      <c r="AF259" s="11">
        <f t="shared" si="386"/>
        <v>186.17999999999995</v>
      </c>
      <c r="AG259" s="11">
        <f t="shared" si="387"/>
        <v>418.15999999999997</v>
      </c>
      <c r="AI259" s="11">
        <f t="shared" si="388"/>
        <v>80.009999999999991</v>
      </c>
      <c r="AJ259" s="11">
        <f t="shared" si="389"/>
        <v>-35.980000000000018</v>
      </c>
      <c r="AK259" s="11">
        <f t="shared" si="390"/>
        <v>196</v>
      </c>
    </row>
    <row r="260" spans="1:37" s="29" customFormat="1" x14ac:dyDescent="0.2">
      <c r="A260" s="2"/>
      <c r="B260" s="2"/>
      <c r="C260" s="2"/>
      <c r="D260" s="2"/>
      <c r="E260" s="2"/>
      <c r="F260" s="2" t="s">
        <v>209</v>
      </c>
      <c r="G260" s="2"/>
      <c r="H260" s="8"/>
      <c r="I260" s="8">
        <f>ROUND(SUM(I256:I259),5)</f>
        <v>1826</v>
      </c>
      <c r="J260" s="8"/>
      <c r="K260" s="8">
        <f>ROUND(SUM(K256:K259),5)</f>
        <v>1543</v>
      </c>
      <c r="L260" s="8"/>
      <c r="M260" s="8">
        <f>ROUND(SUM(M256:M259),5)</f>
        <v>1339</v>
      </c>
      <c r="N260" s="8"/>
      <c r="O260" s="8">
        <f>ROUND(SUM(O256:O259),5)</f>
        <v>1966.05</v>
      </c>
      <c r="P260" s="8"/>
      <c r="Q260" s="8">
        <f>ROUND(SUM(Q256:Q259),5)</f>
        <v>294.54000000000002</v>
      </c>
      <c r="R260" s="8"/>
      <c r="S260" s="8"/>
      <c r="T260" s="8"/>
      <c r="U260" s="30">
        <f>ROUND(SUM(U256:U259),5)</f>
        <v>793.05</v>
      </c>
      <c r="V260" s="8"/>
      <c r="W260" s="30">
        <f>SUM(W257:W259)</f>
        <v>1650</v>
      </c>
      <c r="Y260" s="75">
        <f>ROUND(SUM(Y256:Y259),5)</f>
        <v>750</v>
      </c>
      <c r="AA260" s="8">
        <f t="shared" ref="AA260:AC260" si="391">ROUND(SUM(AA256:AA259),5)</f>
        <v>1624.3040000000001</v>
      </c>
      <c r="AB260" s="8">
        <f t="shared" si="391"/>
        <v>2285.2199999999998</v>
      </c>
      <c r="AC260" s="8">
        <f t="shared" si="391"/>
        <v>294.54000000000002</v>
      </c>
      <c r="AE260" s="8">
        <f t="shared" ref="AE260" si="392">ROUND(SUM(AE256:AE259),5)</f>
        <v>-831.25400000000002</v>
      </c>
      <c r="AF260" s="8">
        <f t="shared" ref="AF260" si="393">ROUND(SUM(AF256:AF259),5)</f>
        <v>-1492.17</v>
      </c>
      <c r="AG260" s="8">
        <f t="shared" ref="AG260" si="394">ROUND(SUM(AG256:AG259),5)</f>
        <v>498.51</v>
      </c>
      <c r="AI260" s="8">
        <f t="shared" ref="AI260:AK260" si="395">ROUND(SUM(AI256:AI259),5)</f>
        <v>25.696000000000002</v>
      </c>
      <c r="AJ260" s="8">
        <f t="shared" si="395"/>
        <v>-635.22</v>
      </c>
      <c r="AK260" s="8">
        <f t="shared" si="395"/>
        <v>1355.46</v>
      </c>
    </row>
    <row r="261" spans="1:37" s="29" customFormat="1" x14ac:dyDescent="0.2">
      <c r="A261" s="2"/>
      <c r="B261" s="2"/>
      <c r="C261" s="2"/>
      <c r="D261" s="2"/>
      <c r="E261" s="2"/>
      <c r="F261" s="2" t="s">
        <v>210</v>
      </c>
      <c r="G261" s="2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Y261" s="8"/>
      <c r="AA261" s="8"/>
      <c r="AB261" s="8"/>
      <c r="AC261" s="8"/>
      <c r="AE261" s="8"/>
      <c r="AF261" s="8"/>
      <c r="AG261" s="8"/>
      <c r="AI261" s="8"/>
      <c r="AJ261" s="8"/>
      <c r="AK261" s="8"/>
    </row>
    <row r="262" spans="1:37" s="29" customFormat="1" x14ac:dyDescent="0.2">
      <c r="A262" s="2"/>
      <c r="B262" s="2"/>
      <c r="C262" s="2"/>
      <c r="D262" s="2"/>
      <c r="E262" s="2"/>
      <c r="F262" s="2"/>
      <c r="G262" s="2" t="s">
        <v>211</v>
      </c>
      <c r="H262" s="8"/>
      <c r="I262" s="8"/>
      <c r="J262" s="8"/>
      <c r="K262" s="8"/>
      <c r="L262" s="8"/>
      <c r="M262" s="8"/>
      <c r="N262" s="8"/>
      <c r="O262" s="8"/>
      <c r="P262" s="8"/>
      <c r="Q262" s="8">
        <v>3736.38</v>
      </c>
      <c r="R262" s="8"/>
      <c r="S262" s="8"/>
      <c r="T262" s="8"/>
      <c r="U262" s="8">
        <v>6050.81</v>
      </c>
      <c r="V262" s="8"/>
      <c r="W262" s="47">
        <v>5300</v>
      </c>
      <c r="Y262" s="73">
        <v>5000</v>
      </c>
      <c r="AA262" s="8">
        <f t="shared" ref="AA262:AA269" si="396">AVERAGE(I262:Q262)</f>
        <v>3736.38</v>
      </c>
      <c r="AB262" s="8">
        <f t="shared" ref="AB262:AB269" si="397">MAX(I262:Q262)</f>
        <v>3736.38</v>
      </c>
      <c r="AC262" s="8">
        <f t="shared" ref="AC262:AC269" si="398">MIN(I262:Q262)</f>
        <v>3736.38</v>
      </c>
      <c r="AE262" s="8">
        <f t="shared" ref="AE262:AE269" si="399">+U262-AA262</f>
        <v>2314.4300000000003</v>
      </c>
      <c r="AF262" s="8">
        <f t="shared" ref="AF262:AF269" si="400">+U262-AB262</f>
        <v>2314.4300000000003</v>
      </c>
      <c r="AG262" s="8">
        <f t="shared" ref="AG262:AG269" si="401">+U262-AC262</f>
        <v>2314.4300000000003</v>
      </c>
      <c r="AI262" s="8">
        <f t="shared" ref="AI262:AI269" si="402">+W262-AA262</f>
        <v>1563.62</v>
      </c>
      <c r="AJ262" s="8">
        <f t="shared" ref="AJ262:AJ269" si="403">+W262-AB262</f>
        <v>1563.62</v>
      </c>
      <c r="AK262" s="8">
        <f t="shared" ref="AK262:AK269" si="404">+W262-AC262</f>
        <v>1563.62</v>
      </c>
    </row>
    <row r="263" spans="1:37" s="29" customFormat="1" x14ac:dyDescent="0.2">
      <c r="A263" s="2"/>
      <c r="B263" s="2"/>
      <c r="C263" s="2"/>
      <c r="D263" s="2"/>
      <c r="E263" s="2"/>
      <c r="F263" s="2"/>
      <c r="G263" s="2" t="s">
        <v>394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>
        <v>22.86</v>
      </c>
      <c r="V263" s="8"/>
      <c r="W263" s="47"/>
      <c r="Y263" s="73"/>
      <c r="AA263" s="8"/>
      <c r="AB263" s="8"/>
      <c r="AC263" s="8"/>
      <c r="AE263" s="8"/>
      <c r="AF263" s="8"/>
      <c r="AG263" s="8"/>
      <c r="AI263" s="8"/>
      <c r="AJ263" s="8"/>
      <c r="AK263" s="8"/>
    </row>
    <row r="264" spans="1:37" s="29" customFormat="1" x14ac:dyDescent="0.2">
      <c r="A264" s="2"/>
      <c r="B264" s="2"/>
      <c r="C264" s="2"/>
      <c r="D264" s="2"/>
      <c r="E264" s="2"/>
      <c r="F264" s="2"/>
      <c r="G264" s="2" t="s">
        <v>212</v>
      </c>
      <c r="H264" s="8"/>
      <c r="I264" s="8">
        <v>2631</v>
      </c>
      <c r="J264" s="8"/>
      <c r="K264" s="8">
        <v>2276</v>
      </c>
      <c r="L264" s="8"/>
      <c r="M264" s="8">
        <v>2140</v>
      </c>
      <c r="N264" s="8"/>
      <c r="O264" s="8">
        <v>1587.37</v>
      </c>
      <c r="P264" s="8"/>
      <c r="Q264" s="8">
        <v>1608.74</v>
      </c>
      <c r="R264" s="8"/>
      <c r="S264" s="8"/>
      <c r="T264" s="8"/>
      <c r="U264" s="8">
        <v>0</v>
      </c>
      <c r="V264" s="8"/>
      <c r="W264" s="47">
        <v>0</v>
      </c>
      <c r="Y264" s="76">
        <v>0</v>
      </c>
      <c r="AA264" s="8">
        <f t="shared" si="396"/>
        <v>2048.6219999999998</v>
      </c>
      <c r="AB264" s="8">
        <f t="shared" si="397"/>
        <v>2631</v>
      </c>
      <c r="AC264" s="8">
        <f t="shared" si="398"/>
        <v>1587.37</v>
      </c>
      <c r="AE264" s="8">
        <f t="shared" si="399"/>
        <v>-2048.6219999999998</v>
      </c>
      <c r="AF264" s="8">
        <f t="shared" si="400"/>
        <v>-2631</v>
      </c>
      <c r="AG264" s="8">
        <f t="shared" si="401"/>
        <v>-1587.37</v>
      </c>
      <c r="AI264" s="8">
        <f t="shared" si="402"/>
        <v>-2048.6219999999998</v>
      </c>
      <c r="AJ264" s="8">
        <f t="shared" si="403"/>
        <v>-2631</v>
      </c>
      <c r="AK264" s="8">
        <f t="shared" si="404"/>
        <v>-1587.37</v>
      </c>
    </row>
    <row r="265" spans="1:37" s="29" customFormat="1" x14ac:dyDescent="0.2">
      <c r="A265" s="2"/>
      <c r="B265" s="2"/>
      <c r="C265" s="2"/>
      <c r="D265" s="2"/>
      <c r="E265" s="2"/>
      <c r="F265" s="2"/>
      <c r="G265" s="2" t="s">
        <v>297</v>
      </c>
      <c r="H265" s="8"/>
      <c r="I265" s="8"/>
      <c r="J265" s="8"/>
      <c r="K265" s="8"/>
      <c r="L265" s="8"/>
      <c r="M265" s="8"/>
      <c r="N265" s="8"/>
      <c r="O265" s="8"/>
      <c r="P265" s="8"/>
      <c r="Q265" s="8">
        <v>45</v>
      </c>
      <c r="R265" s="8"/>
      <c r="S265" s="8"/>
      <c r="T265" s="8"/>
      <c r="U265" s="8">
        <v>0</v>
      </c>
      <c r="V265" s="8"/>
      <c r="W265" s="47">
        <v>100</v>
      </c>
      <c r="Y265" s="73">
        <v>50</v>
      </c>
      <c r="AA265" s="8">
        <f t="shared" si="396"/>
        <v>45</v>
      </c>
      <c r="AB265" s="8">
        <f t="shared" si="397"/>
        <v>45</v>
      </c>
      <c r="AC265" s="8">
        <f t="shared" si="398"/>
        <v>45</v>
      </c>
      <c r="AE265" s="8">
        <f t="shared" si="399"/>
        <v>-45</v>
      </c>
      <c r="AF265" s="8">
        <f t="shared" si="400"/>
        <v>-45</v>
      </c>
      <c r="AG265" s="8">
        <f t="shared" si="401"/>
        <v>-45</v>
      </c>
      <c r="AI265" s="8">
        <f t="shared" si="402"/>
        <v>55</v>
      </c>
      <c r="AJ265" s="8">
        <f t="shared" si="403"/>
        <v>55</v>
      </c>
      <c r="AK265" s="8">
        <f t="shared" si="404"/>
        <v>55</v>
      </c>
    </row>
    <row r="266" spans="1:37" s="29" customFormat="1" x14ac:dyDescent="0.2">
      <c r="A266" s="2"/>
      <c r="B266" s="2"/>
      <c r="C266" s="2"/>
      <c r="D266" s="2"/>
      <c r="E266" s="2"/>
      <c r="F266" s="2"/>
      <c r="G266" s="2" t="s">
        <v>213</v>
      </c>
      <c r="H266" s="8"/>
      <c r="I266" s="8"/>
      <c r="J266" s="8"/>
      <c r="K266" s="8"/>
      <c r="L266" s="8"/>
      <c r="M266" s="8"/>
      <c r="N266" s="8"/>
      <c r="O266" s="8"/>
      <c r="P266" s="8"/>
      <c r="Q266" s="8">
        <v>2084.61</v>
      </c>
      <c r="R266" s="8"/>
      <c r="S266" s="8"/>
      <c r="T266" s="8"/>
      <c r="U266" s="8">
        <v>3888.73</v>
      </c>
      <c r="V266" s="8"/>
      <c r="W266" s="47">
        <v>600</v>
      </c>
      <c r="Y266" s="73">
        <v>3500</v>
      </c>
      <c r="AA266" s="8">
        <f t="shared" si="396"/>
        <v>2084.61</v>
      </c>
      <c r="AB266" s="8">
        <f t="shared" si="397"/>
        <v>2084.61</v>
      </c>
      <c r="AC266" s="8">
        <f t="shared" si="398"/>
        <v>2084.61</v>
      </c>
      <c r="AE266" s="8">
        <f t="shared" si="399"/>
        <v>1804.12</v>
      </c>
      <c r="AF266" s="8">
        <f t="shared" si="400"/>
        <v>1804.12</v>
      </c>
      <c r="AG266" s="8">
        <f t="shared" si="401"/>
        <v>1804.12</v>
      </c>
      <c r="AI266" s="8">
        <f t="shared" si="402"/>
        <v>-1484.6100000000001</v>
      </c>
      <c r="AJ266" s="8">
        <f t="shared" si="403"/>
        <v>-1484.6100000000001</v>
      </c>
      <c r="AK266" s="8">
        <f t="shared" si="404"/>
        <v>-1484.6100000000001</v>
      </c>
    </row>
    <row r="267" spans="1:37" s="29" customFormat="1" x14ac:dyDescent="0.2">
      <c r="A267" s="2"/>
      <c r="B267" s="2"/>
      <c r="C267" s="2"/>
      <c r="D267" s="2"/>
      <c r="E267" s="2"/>
      <c r="F267" s="2"/>
      <c r="G267" s="2" t="s">
        <v>214</v>
      </c>
      <c r="H267" s="8"/>
      <c r="I267" s="8">
        <v>1164</v>
      </c>
      <c r="J267" s="8"/>
      <c r="K267" s="8">
        <v>1263</v>
      </c>
      <c r="L267" s="8"/>
      <c r="M267" s="8">
        <v>1717</v>
      </c>
      <c r="N267" s="8"/>
      <c r="O267" s="8">
        <v>7109.5</v>
      </c>
      <c r="P267" s="8"/>
      <c r="Q267" s="8">
        <v>8086.47</v>
      </c>
      <c r="R267" s="8"/>
      <c r="S267" s="8"/>
      <c r="T267" s="8"/>
      <c r="U267" s="8">
        <v>5725.36</v>
      </c>
      <c r="V267" s="8"/>
      <c r="W267" s="47">
        <v>5000</v>
      </c>
      <c r="Y267" s="73">
        <v>5000</v>
      </c>
      <c r="AA267" s="8">
        <f t="shared" si="396"/>
        <v>3867.9940000000001</v>
      </c>
      <c r="AB267" s="8">
        <f t="shared" si="397"/>
        <v>8086.47</v>
      </c>
      <c r="AC267" s="8">
        <f t="shared" si="398"/>
        <v>1164</v>
      </c>
      <c r="AE267" s="8">
        <f t="shared" si="399"/>
        <v>1857.3659999999995</v>
      </c>
      <c r="AF267" s="8">
        <f t="shared" si="400"/>
        <v>-2361.1100000000006</v>
      </c>
      <c r="AG267" s="8">
        <f t="shared" si="401"/>
        <v>4561.3599999999997</v>
      </c>
      <c r="AI267" s="8">
        <f t="shared" si="402"/>
        <v>1132.0059999999999</v>
      </c>
      <c r="AJ267" s="8">
        <f t="shared" si="403"/>
        <v>-3086.4700000000003</v>
      </c>
      <c r="AK267" s="8">
        <f t="shared" si="404"/>
        <v>3836</v>
      </c>
    </row>
    <row r="268" spans="1:37" s="29" customFormat="1" x14ac:dyDescent="0.2">
      <c r="A268" s="2"/>
      <c r="B268" s="2"/>
      <c r="C268" s="2"/>
      <c r="D268" s="2"/>
      <c r="E268" s="2"/>
      <c r="F268" s="2"/>
      <c r="G268" s="2" t="s">
        <v>215</v>
      </c>
      <c r="H268" s="8"/>
      <c r="I268" s="8">
        <v>760</v>
      </c>
      <c r="J268" s="8"/>
      <c r="K268" s="8">
        <v>1085</v>
      </c>
      <c r="L268" s="8"/>
      <c r="M268" s="8">
        <v>95</v>
      </c>
      <c r="N268" s="8"/>
      <c r="O268" s="8">
        <v>15352.44</v>
      </c>
      <c r="P268" s="8"/>
      <c r="Q268" s="8">
        <v>1743.31</v>
      </c>
      <c r="R268" s="8"/>
      <c r="S268" s="8"/>
      <c r="T268" s="8"/>
      <c r="U268" s="8">
        <v>2916.66</v>
      </c>
      <c r="V268" s="8"/>
      <c r="W268" s="47">
        <v>1200</v>
      </c>
      <c r="Y268" s="73">
        <v>1500</v>
      </c>
      <c r="AA268" s="47">
        <f t="shared" si="396"/>
        <v>3807.1500000000005</v>
      </c>
      <c r="AB268" s="47">
        <f t="shared" si="397"/>
        <v>15352.44</v>
      </c>
      <c r="AC268" s="47">
        <f t="shared" si="398"/>
        <v>95</v>
      </c>
      <c r="AE268" s="47">
        <f t="shared" si="399"/>
        <v>-890.49000000000069</v>
      </c>
      <c r="AF268" s="47">
        <f t="shared" si="400"/>
        <v>-12435.78</v>
      </c>
      <c r="AG268" s="47">
        <f t="shared" si="401"/>
        <v>2821.66</v>
      </c>
      <c r="AI268" s="8">
        <f t="shared" si="402"/>
        <v>-2607.1500000000005</v>
      </c>
      <c r="AJ268" s="8">
        <f t="shared" si="403"/>
        <v>-14152.44</v>
      </c>
      <c r="AK268" s="8">
        <f t="shared" si="404"/>
        <v>1105</v>
      </c>
    </row>
    <row r="269" spans="1:37" s="29" customFormat="1" ht="10.8" thickBot="1" x14ac:dyDescent="0.25">
      <c r="A269" s="2"/>
      <c r="B269" s="2"/>
      <c r="C269" s="2"/>
      <c r="D269" s="2"/>
      <c r="E269" s="2"/>
      <c r="F269" s="2"/>
      <c r="G269" s="2" t="s">
        <v>216</v>
      </c>
      <c r="H269" s="8"/>
      <c r="I269" s="9"/>
      <c r="J269" s="8"/>
      <c r="K269" s="9"/>
      <c r="L269" s="8"/>
      <c r="M269" s="9"/>
      <c r="N269" s="8"/>
      <c r="O269" s="9"/>
      <c r="P269" s="9"/>
      <c r="Q269" s="8">
        <v>1989.83</v>
      </c>
      <c r="R269" s="9"/>
      <c r="S269" s="9"/>
      <c r="T269" s="8"/>
      <c r="U269" s="8">
        <v>578.9</v>
      </c>
      <c r="V269" s="8"/>
      <c r="W269" s="48">
        <v>500</v>
      </c>
      <c r="Y269" s="81">
        <v>600</v>
      </c>
      <c r="AA269" s="48">
        <f t="shared" si="396"/>
        <v>1989.83</v>
      </c>
      <c r="AB269" s="48">
        <f t="shared" si="397"/>
        <v>1989.83</v>
      </c>
      <c r="AC269" s="48">
        <f t="shared" si="398"/>
        <v>1989.83</v>
      </c>
      <c r="AE269" s="48">
        <f t="shared" si="399"/>
        <v>-1410.9299999999998</v>
      </c>
      <c r="AF269" s="48">
        <f t="shared" si="400"/>
        <v>-1410.9299999999998</v>
      </c>
      <c r="AG269" s="48">
        <f t="shared" si="401"/>
        <v>-1410.9299999999998</v>
      </c>
      <c r="AI269" s="9">
        <f t="shared" si="402"/>
        <v>-1489.83</v>
      </c>
      <c r="AJ269" s="9">
        <f t="shared" si="403"/>
        <v>-1489.83</v>
      </c>
      <c r="AK269" s="9">
        <f t="shared" si="404"/>
        <v>-1489.83</v>
      </c>
    </row>
    <row r="270" spans="1:37" s="29" customFormat="1" ht="10.8" thickBot="1" x14ac:dyDescent="0.25">
      <c r="A270" s="2"/>
      <c r="B270" s="2"/>
      <c r="C270" s="2"/>
      <c r="D270" s="2"/>
      <c r="E270" s="2"/>
      <c r="F270" s="2" t="s">
        <v>217</v>
      </c>
      <c r="G270" s="2"/>
      <c r="H270" s="8"/>
      <c r="I270" s="10">
        <f>ROUND(SUM(I261:I269),5)</f>
        <v>4555</v>
      </c>
      <c r="J270" s="8"/>
      <c r="K270" s="10">
        <f>ROUND(SUM(K261:K269),5)</f>
        <v>4624</v>
      </c>
      <c r="L270" s="8"/>
      <c r="M270" s="10">
        <f>ROUND(SUM(M261:M269),5)</f>
        <v>3952</v>
      </c>
      <c r="N270" s="8"/>
      <c r="O270" s="10">
        <f>ROUND(SUM(O261:O269),5)</f>
        <v>24049.31</v>
      </c>
      <c r="P270" s="10"/>
      <c r="Q270" s="10">
        <f>ROUND(SUM(Q261:Q269),5)</f>
        <v>19294.34</v>
      </c>
      <c r="R270" s="9"/>
      <c r="S270" s="9"/>
      <c r="T270" s="8"/>
      <c r="U270" s="34">
        <f>ROUND(SUM(U261:U269),5)</f>
        <v>19183.32</v>
      </c>
      <c r="V270" s="8"/>
      <c r="W270" s="34">
        <f>SUM(W262:W269)</f>
        <v>12700</v>
      </c>
      <c r="Y270" s="82">
        <f>ROUND(SUM(Y261:Y269),5)</f>
        <v>15650</v>
      </c>
      <c r="AA270" s="34">
        <f>ROUND(SUM(AA261:AA269),5)</f>
        <v>17579.585999999999</v>
      </c>
      <c r="AB270" s="34">
        <f>ROUND(SUM(AB261:AB269),5)</f>
        <v>33925.730000000003</v>
      </c>
      <c r="AC270" s="34">
        <f>ROUND(SUM(AC261:AC269),5)</f>
        <v>10702.19</v>
      </c>
      <c r="AE270" s="34">
        <f>ROUND(SUM(AE261:AE269),5)</f>
        <v>1580.874</v>
      </c>
      <c r="AF270" s="34">
        <f>ROUND(SUM(AF261:AF269),5)</f>
        <v>-14765.27</v>
      </c>
      <c r="AG270" s="34">
        <f>ROUND(SUM(AG261:AG269),5)</f>
        <v>8458.27</v>
      </c>
      <c r="AI270" s="10">
        <f>ROUND(SUM(AI261:AI269),5)</f>
        <v>-4879.5860000000002</v>
      </c>
      <c r="AJ270" s="10">
        <f>ROUND(SUM(AJ261:AJ269),5)</f>
        <v>-21225.73</v>
      </c>
      <c r="AK270" s="10">
        <f>ROUND(SUM(AK261:AK269),5)</f>
        <v>1997.81</v>
      </c>
    </row>
    <row r="271" spans="1:37" s="29" customFormat="1" x14ac:dyDescent="0.2">
      <c r="A271" s="2"/>
      <c r="B271" s="2"/>
      <c r="C271" s="2"/>
      <c r="D271" s="2"/>
      <c r="E271" s="24" t="s">
        <v>218</v>
      </c>
      <c r="F271" s="2"/>
      <c r="G271" s="2"/>
      <c r="H271" s="8"/>
      <c r="I271" s="8">
        <f>ROUND(I235+I243+I249+I255+I260+I270,5)</f>
        <v>72690</v>
      </c>
      <c r="J271" s="8"/>
      <c r="K271" s="8">
        <f>ROUND(K235+K243+K249+K255+K260+K270,5)</f>
        <v>73788</v>
      </c>
      <c r="L271" s="8"/>
      <c r="M271" s="8">
        <f>ROUND(M235+M243+M249+M255+M260+M270,5)</f>
        <v>76733</v>
      </c>
      <c r="N271" s="8"/>
      <c r="O271" s="8">
        <f>ROUND(O235+O243+O249+O255+O260+O270,5)</f>
        <v>290172.84000000003</v>
      </c>
      <c r="P271" s="8"/>
      <c r="Q271" s="8">
        <f>ROUND(Q235+Q243+Q249+Q255+Q260+Q270,5)</f>
        <v>240966.26</v>
      </c>
      <c r="R271" s="8"/>
      <c r="S271" s="8"/>
      <c r="T271" s="8"/>
      <c r="U271" s="31">
        <f>ROUND(U235+U243+U249+U255+U260+U270,5)</f>
        <v>211396.19</v>
      </c>
      <c r="V271" s="8"/>
      <c r="W271" s="31">
        <f>ROUND(W235+W243+W249+W255+W260+W270,5)</f>
        <v>229090</v>
      </c>
      <c r="Y271" s="75">
        <f>ROUND(Y235+Y243+Y249+Y255+Y260+Y270,5)</f>
        <v>245635</v>
      </c>
      <c r="AA271" s="31">
        <f>ROUND(AA235+AA243+AA249+AA255+AA260+AA270,5)</f>
        <v>238751.91</v>
      </c>
      <c r="AB271" s="31">
        <f>ROUND(AB235+AB243+AB249+AB255+AB260+AB270,5)</f>
        <v>407527.1</v>
      </c>
      <c r="AC271" s="31">
        <f>ROUND(AC235+AC243+AC249+AC255+AC260+AC270,5)</f>
        <v>178694.04</v>
      </c>
      <c r="AE271" s="31">
        <f>ROUND(AE235+AE243+AE249+AE255+AE260+AE270,5)</f>
        <v>-27566.58</v>
      </c>
      <c r="AF271" s="31">
        <f>ROUND(AF235+AF243+AF249+AF255+AF260+AF270,5)</f>
        <v>-196341.77</v>
      </c>
      <c r="AG271" s="31">
        <f>ROUND(AG235+AG243+AG249+AG255+AG260+AG270,5)</f>
        <v>32491.29</v>
      </c>
      <c r="AI271" s="8">
        <f>ROUND(AI235+AI243+AI249+AI255+AI260+AI270,5)</f>
        <v>-9661.91</v>
      </c>
      <c r="AJ271" s="8">
        <f>ROUND(AJ235+AJ243+AJ249+AJ255+AJ260+AJ270,5)</f>
        <v>-178437.1</v>
      </c>
      <c r="AK271" s="8">
        <f>ROUND(AK235+AK243+AK249+AK255+AK260+AK270,5)</f>
        <v>50395.96</v>
      </c>
    </row>
    <row r="272" spans="1:37" s="29" customFormat="1" x14ac:dyDescent="0.2">
      <c r="A272" s="2"/>
      <c r="B272" s="2"/>
      <c r="C272" s="2"/>
      <c r="D272" s="2"/>
      <c r="E272" s="2"/>
      <c r="F272" s="2"/>
      <c r="G272" s="2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Y272" s="8"/>
      <c r="AA272" s="8"/>
      <c r="AB272" s="8"/>
      <c r="AC272" s="8"/>
      <c r="AE272" s="8"/>
      <c r="AF272" s="8"/>
      <c r="AG272" s="8"/>
      <c r="AI272" s="8"/>
      <c r="AJ272" s="8"/>
      <c r="AK272" s="8"/>
    </row>
    <row r="273" spans="1:37" s="29" customFormat="1" x14ac:dyDescent="0.2">
      <c r="A273" s="2"/>
      <c r="B273" s="2"/>
      <c r="C273" s="2"/>
      <c r="D273" s="2"/>
      <c r="E273" s="24" t="s">
        <v>219</v>
      </c>
      <c r="F273" s="2"/>
      <c r="G273" s="27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Y273" s="8"/>
      <c r="AA273" s="8"/>
      <c r="AB273" s="8"/>
      <c r="AC273" s="8"/>
      <c r="AE273" s="8"/>
      <c r="AF273" s="8"/>
      <c r="AG273" s="8"/>
      <c r="AI273" s="8"/>
      <c r="AJ273" s="8"/>
      <c r="AK273" s="8"/>
    </row>
    <row r="274" spans="1:37" s="29" customFormat="1" x14ac:dyDescent="0.2">
      <c r="A274" s="2"/>
      <c r="B274" s="2"/>
      <c r="C274" s="2"/>
      <c r="D274" s="2"/>
      <c r="E274" s="2"/>
      <c r="F274" s="2" t="s">
        <v>220</v>
      </c>
      <c r="G274" s="2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Y274" s="8"/>
      <c r="AA274" s="8"/>
      <c r="AB274" s="8"/>
      <c r="AC274" s="8"/>
      <c r="AE274" s="8"/>
      <c r="AF274" s="8"/>
      <c r="AG274" s="8"/>
      <c r="AI274" s="8"/>
      <c r="AJ274" s="8"/>
      <c r="AK274" s="8"/>
    </row>
    <row r="275" spans="1:37" s="29" customFormat="1" x14ac:dyDescent="0.2">
      <c r="A275" s="2"/>
      <c r="B275" s="2"/>
      <c r="C275" s="2"/>
      <c r="D275" s="2"/>
      <c r="E275" s="2"/>
      <c r="F275" s="2"/>
      <c r="G275" s="2" t="s">
        <v>221</v>
      </c>
      <c r="H275" s="8"/>
      <c r="I275" s="8"/>
      <c r="J275" s="8"/>
      <c r="K275" s="8"/>
      <c r="L275" s="8"/>
      <c r="M275" s="8"/>
      <c r="N275" s="8"/>
      <c r="O275" s="8"/>
      <c r="P275" s="8"/>
      <c r="Q275" s="8">
        <v>55877.64</v>
      </c>
      <c r="R275" s="8"/>
      <c r="S275" s="8"/>
      <c r="T275" s="8"/>
      <c r="U275" s="8">
        <v>44056.69</v>
      </c>
      <c r="V275" s="8"/>
      <c r="W275" s="47">
        <v>57275</v>
      </c>
      <c r="Y275" s="73">
        <v>51371</v>
      </c>
      <c r="Z275" s="6"/>
      <c r="AA275" s="47">
        <f t="shared" ref="AA275:AA279" si="405">AVERAGE(I275:Q275)</f>
        <v>55877.64</v>
      </c>
      <c r="AB275" s="47">
        <f t="shared" ref="AB275:AB279" si="406">MAX(I275:Q275)</f>
        <v>55877.64</v>
      </c>
      <c r="AC275" s="47">
        <f t="shared" ref="AC275:AC279" si="407">MIN(I275:Q275)</f>
        <v>55877.64</v>
      </c>
      <c r="AE275" s="47">
        <f t="shared" ref="AE275:AE279" si="408">+U275-AA275</f>
        <v>-11820.949999999997</v>
      </c>
      <c r="AF275" s="47">
        <f t="shared" ref="AF275:AF279" si="409">+U275-AB275</f>
        <v>-11820.949999999997</v>
      </c>
      <c r="AG275" s="47">
        <f t="shared" ref="AG275:AG279" si="410">+U275-AC275</f>
        <v>-11820.949999999997</v>
      </c>
      <c r="AI275" s="8">
        <f t="shared" ref="AI275:AI279" si="411">+W275-AA275</f>
        <v>1397.3600000000006</v>
      </c>
      <c r="AJ275" s="8">
        <f t="shared" ref="AJ275:AJ279" si="412">+W275-AB275</f>
        <v>1397.3600000000006</v>
      </c>
      <c r="AK275" s="8">
        <f t="shared" ref="AK275:AK279" si="413">+W275-AC275</f>
        <v>1397.3600000000006</v>
      </c>
    </row>
    <row r="276" spans="1:37" s="29" customFormat="1" x14ac:dyDescent="0.2">
      <c r="A276" s="2"/>
      <c r="B276" s="2"/>
      <c r="C276" s="2"/>
      <c r="D276" s="2"/>
      <c r="E276" s="2"/>
      <c r="F276" s="2"/>
      <c r="G276" s="2" t="s">
        <v>222</v>
      </c>
      <c r="H276" s="8"/>
      <c r="I276" s="8"/>
      <c r="J276" s="8"/>
      <c r="K276" s="8"/>
      <c r="L276" s="8"/>
      <c r="M276" s="8"/>
      <c r="N276" s="8"/>
      <c r="O276" s="8"/>
      <c r="P276" s="8"/>
      <c r="Q276" s="8">
        <v>4593.97</v>
      </c>
      <c r="R276" s="8"/>
      <c r="S276" s="8"/>
      <c r="T276" s="8"/>
      <c r="U276" s="8">
        <v>3845.82</v>
      </c>
      <c r="V276" s="8"/>
      <c r="W276" s="47">
        <v>4382</v>
      </c>
      <c r="Y276" s="73">
        <v>3930</v>
      </c>
      <c r="Z276" s="6"/>
      <c r="AA276" s="47">
        <f t="shared" si="405"/>
        <v>4593.97</v>
      </c>
      <c r="AB276" s="47">
        <f t="shared" si="406"/>
        <v>4593.97</v>
      </c>
      <c r="AC276" s="47">
        <f t="shared" si="407"/>
        <v>4593.97</v>
      </c>
      <c r="AE276" s="47">
        <f t="shared" si="408"/>
        <v>-748.15000000000009</v>
      </c>
      <c r="AF276" s="47">
        <f t="shared" si="409"/>
        <v>-748.15000000000009</v>
      </c>
      <c r="AG276" s="47">
        <f t="shared" si="410"/>
        <v>-748.15000000000009</v>
      </c>
      <c r="AI276" s="8">
        <f t="shared" si="411"/>
        <v>-211.97000000000025</v>
      </c>
      <c r="AJ276" s="8">
        <f t="shared" si="412"/>
        <v>-211.97000000000025</v>
      </c>
      <c r="AK276" s="8">
        <f t="shared" si="413"/>
        <v>-211.97000000000025</v>
      </c>
    </row>
    <row r="277" spans="1:37" s="32" customFormat="1" x14ac:dyDescent="0.2">
      <c r="A277" s="26"/>
      <c r="B277" s="26"/>
      <c r="C277" s="26"/>
      <c r="D277" s="26"/>
      <c r="E277" s="26"/>
      <c r="F277" s="26"/>
      <c r="G277" s="26" t="s">
        <v>223</v>
      </c>
      <c r="H277" s="9"/>
      <c r="I277" s="9"/>
      <c r="J277" s="9"/>
      <c r="K277" s="9"/>
      <c r="L277" s="9"/>
      <c r="M277" s="9"/>
      <c r="N277" s="9"/>
      <c r="O277" s="9"/>
      <c r="P277" s="9"/>
      <c r="Q277" s="8">
        <v>12222.55</v>
      </c>
      <c r="R277" s="9"/>
      <c r="S277" s="9"/>
      <c r="T277" s="9"/>
      <c r="U277" s="8">
        <v>6394.08</v>
      </c>
      <c r="V277" s="9"/>
      <c r="W277" s="48">
        <v>12399</v>
      </c>
      <c r="Y277" s="81">
        <v>10215</v>
      </c>
      <c r="Z277" s="43"/>
      <c r="AA277" s="48">
        <f t="shared" si="405"/>
        <v>12222.55</v>
      </c>
      <c r="AB277" s="48">
        <f t="shared" si="406"/>
        <v>12222.55</v>
      </c>
      <c r="AC277" s="48">
        <f t="shared" si="407"/>
        <v>12222.55</v>
      </c>
      <c r="AD277" s="29"/>
      <c r="AE277" s="48">
        <f t="shared" si="408"/>
        <v>-5828.4699999999993</v>
      </c>
      <c r="AF277" s="48">
        <f t="shared" si="409"/>
        <v>-5828.4699999999993</v>
      </c>
      <c r="AG277" s="48">
        <f t="shared" si="410"/>
        <v>-5828.4699999999993</v>
      </c>
      <c r="AH277" s="29"/>
      <c r="AI277" s="9">
        <f t="shared" si="411"/>
        <v>176.45000000000073</v>
      </c>
      <c r="AJ277" s="9">
        <f t="shared" si="412"/>
        <v>176.45000000000073</v>
      </c>
      <c r="AK277" s="9">
        <f t="shared" si="413"/>
        <v>176.45000000000073</v>
      </c>
    </row>
    <row r="278" spans="1:37" s="32" customFormat="1" x14ac:dyDescent="0.2">
      <c r="A278" s="26"/>
      <c r="B278" s="26"/>
      <c r="C278" s="26"/>
      <c r="D278" s="26"/>
      <c r="E278" s="26"/>
      <c r="F278" s="26"/>
      <c r="G278" s="2" t="s">
        <v>365</v>
      </c>
      <c r="H278" s="9"/>
      <c r="I278" s="9"/>
      <c r="J278" s="9"/>
      <c r="K278" s="9"/>
      <c r="L278" s="9"/>
      <c r="M278" s="9"/>
      <c r="N278" s="9"/>
      <c r="O278" s="9"/>
      <c r="P278" s="9"/>
      <c r="Q278" s="8"/>
      <c r="R278" s="9"/>
      <c r="S278" s="9"/>
      <c r="T278" s="9"/>
      <c r="U278" s="48">
        <v>0</v>
      </c>
      <c r="V278" s="9"/>
      <c r="W278" s="48"/>
      <c r="Y278" s="81">
        <v>1541</v>
      </c>
      <c r="Z278" s="43"/>
      <c r="AA278" s="48"/>
      <c r="AB278" s="48"/>
      <c r="AC278" s="48"/>
      <c r="AD278" s="29"/>
      <c r="AE278" s="48"/>
      <c r="AF278" s="48"/>
      <c r="AG278" s="48"/>
      <c r="AH278" s="29"/>
      <c r="AI278" s="9"/>
      <c r="AJ278" s="9"/>
      <c r="AK278" s="9"/>
    </row>
    <row r="279" spans="1:37" s="29" customFormat="1" ht="10.8" thickBot="1" x14ac:dyDescent="0.25">
      <c r="A279" s="2"/>
      <c r="B279" s="2"/>
      <c r="C279" s="2"/>
      <c r="D279" s="2"/>
      <c r="E279" s="2"/>
      <c r="F279" s="2"/>
      <c r="G279" s="2" t="s">
        <v>304</v>
      </c>
      <c r="H279" s="8"/>
      <c r="I279" s="11"/>
      <c r="J279" s="8"/>
      <c r="K279" s="11"/>
      <c r="L279" s="8"/>
      <c r="M279" s="11"/>
      <c r="N279" s="8"/>
      <c r="O279" s="11"/>
      <c r="P279" s="11"/>
      <c r="Q279" s="11">
        <v>0</v>
      </c>
      <c r="R279" s="9"/>
      <c r="S279" s="9"/>
      <c r="T279" s="8"/>
      <c r="U279" s="42">
        <v>437</v>
      </c>
      <c r="V279" s="8"/>
      <c r="W279" s="42">
        <v>452</v>
      </c>
      <c r="Y279" s="74">
        <v>406</v>
      </c>
      <c r="Z279" s="6"/>
      <c r="AA279" s="42">
        <f t="shared" si="405"/>
        <v>0</v>
      </c>
      <c r="AB279" s="42">
        <f t="shared" si="406"/>
        <v>0</v>
      </c>
      <c r="AC279" s="42">
        <f t="shared" si="407"/>
        <v>0</v>
      </c>
      <c r="AE279" s="42">
        <f t="shared" si="408"/>
        <v>437</v>
      </c>
      <c r="AF279" s="42">
        <f t="shared" si="409"/>
        <v>437</v>
      </c>
      <c r="AG279" s="42">
        <f t="shared" si="410"/>
        <v>437</v>
      </c>
      <c r="AI279" s="11">
        <f t="shared" si="411"/>
        <v>452</v>
      </c>
      <c r="AJ279" s="11">
        <f t="shared" si="412"/>
        <v>452</v>
      </c>
      <c r="AK279" s="11">
        <f t="shared" si="413"/>
        <v>452</v>
      </c>
    </row>
    <row r="280" spans="1:37" s="29" customFormat="1" x14ac:dyDescent="0.2">
      <c r="A280" s="2"/>
      <c r="B280" s="2"/>
      <c r="C280" s="2"/>
      <c r="D280" s="2"/>
      <c r="E280" s="2"/>
      <c r="F280" s="2" t="s">
        <v>224</v>
      </c>
      <c r="G280" s="2"/>
      <c r="H280" s="8"/>
      <c r="I280" s="8">
        <f>ROUND(SUM(I274:I279),5)</f>
        <v>0</v>
      </c>
      <c r="J280" s="8"/>
      <c r="K280" s="8">
        <f>ROUND(SUM(K274:K279),5)</f>
        <v>0</v>
      </c>
      <c r="L280" s="8"/>
      <c r="M280" s="8">
        <f>ROUND(SUM(M274:M279),5)</f>
        <v>0</v>
      </c>
      <c r="N280" s="8"/>
      <c r="O280" s="8">
        <f>ROUND(SUM(O274:O279),5)</f>
        <v>0</v>
      </c>
      <c r="P280" s="8"/>
      <c r="Q280" s="8">
        <f>ROUND(SUM(Q274:Q279),5)</f>
        <v>72694.16</v>
      </c>
      <c r="R280" s="8"/>
      <c r="S280" s="8"/>
      <c r="T280" s="8"/>
      <c r="U280" s="30">
        <f>ROUND(SUM(U274:U279),5)</f>
        <v>54733.59</v>
      </c>
      <c r="V280" s="8"/>
      <c r="W280" s="30">
        <f>ROUND(SUM(W274:W279),5)</f>
        <v>74508</v>
      </c>
      <c r="Y280" s="83">
        <f>ROUND(SUM(Y274:Y279),5)</f>
        <v>67463</v>
      </c>
      <c r="Z280" s="6"/>
      <c r="AA280" s="30">
        <f>ROUND(SUM(AA274:AA279),5)</f>
        <v>72694.16</v>
      </c>
      <c r="AB280" s="30">
        <f>ROUND(SUM(AB274:AB279),5)</f>
        <v>72694.16</v>
      </c>
      <c r="AC280" s="30">
        <f>ROUND(SUM(AC274:AC279),5)</f>
        <v>72694.16</v>
      </c>
      <c r="AE280" s="30">
        <f>ROUND(SUM(AE274:AE279),5)</f>
        <v>-17960.57</v>
      </c>
      <c r="AF280" s="30">
        <f>ROUND(SUM(AF274:AF279),5)</f>
        <v>-17960.57</v>
      </c>
      <c r="AG280" s="30">
        <f>ROUND(SUM(AG274:AG279),5)</f>
        <v>-17960.57</v>
      </c>
      <c r="AI280" s="8">
        <f>ROUND(SUM(AI274:AI279),5)</f>
        <v>1813.84</v>
      </c>
      <c r="AJ280" s="8">
        <f>ROUND(SUM(AJ274:AJ279),5)</f>
        <v>1813.84</v>
      </c>
      <c r="AK280" s="8">
        <f>ROUND(SUM(AK274:AK279),5)</f>
        <v>1813.84</v>
      </c>
    </row>
    <row r="281" spans="1:37" s="29" customFormat="1" x14ac:dyDescent="0.2">
      <c r="A281" s="2"/>
      <c r="B281" s="2"/>
      <c r="C281" s="2"/>
      <c r="D281" s="2"/>
      <c r="E281" s="2"/>
      <c r="F281" s="2" t="s">
        <v>225</v>
      </c>
      <c r="G281" s="2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Y281" s="77"/>
      <c r="AA281" s="8"/>
      <c r="AB281" s="8"/>
      <c r="AC281" s="8"/>
      <c r="AE281" s="8"/>
      <c r="AF281" s="8"/>
      <c r="AG281" s="8"/>
      <c r="AI281" s="8"/>
      <c r="AJ281" s="8"/>
      <c r="AK281" s="8"/>
    </row>
    <row r="282" spans="1:37" s="29" customFormat="1" ht="10.8" thickBot="1" x14ac:dyDescent="0.25">
      <c r="A282" s="2"/>
      <c r="B282" s="2"/>
      <c r="C282" s="2"/>
      <c r="D282" s="2"/>
      <c r="E282" s="2"/>
      <c r="F282" s="2"/>
      <c r="G282" s="2" t="s">
        <v>226</v>
      </c>
      <c r="H282" s="8"/>
      <c r="I282" s="11"/>
      <c r="J282" s="8"/>
      <c r="K282" s="11"/>
      <c r="L282" s="8"/>
      <c r="M282" s="11"/>
      <c r="N282" s="8"/>
      <c r="O282" s="11"/>
      <c r="P282" s="11"/>
      <c r="Q282" s="11">
        <v>1587.55</v>
      </c>
      <c r="R282" s="9"/>
      <c r="S282" s="9"/>
      <c r="T282" s="8"/>
      <c r="U282" s="11">
        <v>635.64</v>
      </c>
      <c r="V282" s="8"/>
      <c r="W282" s="39">
        <v>1800</v>
      </c>
      <c r="Y282" s="74">
        <v>1500</v>
      </c>
      <c r="AA282" s="39">
        <f t="shared" ref="AA282" si="414">AVERAGE(I282:Q282)</f>
        <v>1587.55</v>
      </c>
      <c r="AB282" s="39">
        <f t="shared" ref="AB282" si="415">MAX(I282:Q282)</f>
        <v>1587.55</v>
      </c>
      <c r="AC282" s="39">
        <f t="shared" ref="AC282" si="416">MIN(I282:Q282)</f>
        <v>1587.55</v>
      </c>
      <c r="AE282" s="39">
        <f t="shared" ref="AE282" si="417">+U282-AA282</f>
        <v>-951.91</v>
      </c>
      <c r="AF282" s="39">
        <f t="shared" ref="AF282" si="418">+U282-AB282</f>
        <v>-951.91</v>
      </c>
      <c r="AG282" s="39">
        <f t="shared" ref="AG282" si="419">+U282-AC282</f>
        <v>-951.91</v>
      </c>
      <c r="AI282" s="11">
        <f t="shared" ref="AI282" si="420">+W282-AA282</f>
        <v>212.45000000000005</v>
      </c>
      <c r="AJ282" s="11">
        <f t="shared" ref="AJ282" si="421">+W282-AB282</f>
        <v>212.45000000000005</v>
      </c>
      <c r="AK282" s="11">
        <f t="shared" ref="AK282" si="422">+W282-AC282</f>
        <v>212.45000000000005</v>
      </c>
    </row>
    <row r="283" spans="1:37" s="29" customFormat="1" x14ac:dyDescent="0.2">
      <c r="A283" s="2"/>
      <c r="B283" s="2"/>
      <c r="C283" s="2"/>
      <c r="D283" s="2"/>
      <c r="E283" s="2"/>
      <c r="F283" s="2" t="s">
        <v>227</v>
      </c>
      <c r="G283" s="2"/>
      <c r="H283" s="8"/>
      <c r="I283" s="8">
        <f>ROUND(SUM(I281:I282),5)</f>
        <v>0</v>
      </c>
      <c r="J283" s="8"/>
      <c r="K283" s="8">
        <f>ROUND(SUM(K281:K282),5)</f>
        <v>0</v>
      </c>
      <c r="L283" s="8"/>
      <c r="M283" s="8">
        <f>ROUND(SUM(M281:M282),5)</f>
        <v>0</v>
      </c>
      <c r="N283" s="8"/>
      <c r="O283" s="8">
        <f>ROUND(SUM(O281:O282),5)</f>
        <v>0</v>
      </c>
      <c r="P283" s="8"/>
      <c r="Q283" s="8">
        <f>ROUND(SUM(Q281:Q282),5)</f>
        <v>1587.55</v>
      </c>
      <c r="R283" s="8"/>
      <c r="S283" s="8"/>
      <c r="T283" s="8"/>
      <c r="U283" s="30">
        <f>ROUND(SUM(U281:U282),5)</f>
        <v>635.64</v>
      </c>
      <c r="V283" s="8"/>
      <c r="W283" s="30">
        <f>SUM(W282)</f>
        <v>1800</v>
      </c>
      <c r="Y283" s="83">
        <f>ROUND(SUM(Y281:Y282),5)</f>
        <v>1500</v>
      </c>
      <c r="AA283" s="30">
        <f t="shared" ref="AA283:AC283" si="423">ROUND(SUM(AA281:AA282),5)</f>
        <v>1587.55</v>
      </c>
      <c r="AB283" s="30">
        <f t="shared" si="423"/>
        <v>1587.55</v>
      </c>
      <c r="AC283" s="30">
        <f t="shared" si="423"/>
        <v>1587.55</v>
      </c>
      <c r="AE283" s="30">
        <f t="shared" ref="AE283" si="424">ROUND(SUM(AE281:AE282),5)</f>
        <v>-951.91</v>
      </c>
      <c r="AF283" s="30">
        <f t="shared" ref="AF283" si="425">ROUND(SUM(AF281:AF282),5)</f>
        <v>-951.91</v>
      </c>
      <c r="AG283" s="30">
        <f t="shared" ref="AG283" si="426">ROUND(SUM(AG281:AG282),5)</f>
        <v>-951.91</v>
      </c>
      <c r="AI283" s="8">
        <f t="shared" ref="AI283:AK283" si="427">ROUND(SUM(AI281:AI282),5)</f>
        <v>212.45</v>
      </c>
      <c r="AJ283" s="8">
        <f t="shared" si="427"/>
        <v>212.45</v>
      </c>
      <c r="AK283" s="8">
        <f t="shared" si="427"/>
        <v>212.45</v>
      </c>
    </row>
    <row r="284" spans="1:37" s="29" customFormat="1" x14ac:dyDescent="0.2">
      <c r="A284" s="2"/>
      <c r="B284" s="2"/>
      <c r="C284" s="2"/>
      <c r="D284" s="2"/>
      <c r="E284" s="2"/>
      <c r="F284" s="2" t="s">
        <v>228</v>
      </c>
      <c r="G284" s="2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Y284" s="77"/>
      <c r="AA284" s="8"/>
      <c r="AB284" s="8"/>
      <c r="AC284" s="8"/>
      <c r="AE284" s="8"/>
      <c r="AF284" s="8"/>
      <c r="AG284" s="8"/>
      <c r="AI284" s="8"/>
      <c r="AJ284" s="8"/>
      <c r="AK284" s="8"/>
    </row>
    <row r="285" spans="1:37" s="29" customFormat="1" x14ac:dyDescent="0.2">
      <c r="A285" s="2"/>
      <c r="B285" s="2"/>
      <c r="C285" s="2"/>
      <c r="D285" s="2"/>
      <c r="E285" s="2"/>
      <c r="F285" s="2"/>
      <c r="G285" s="2" t="s">
        <v>229</v>
      </c>
      <c r="H285" s="8"/>
      <c r="I285" s="8"/>
      <c r="J285" s="8"/>
      <c r="K285" s="8"/>
      <c r="L285" s="8"/>
      <c r="M285" s="8"/>
      <c r="N285" s="8"/>
      <c r="O285" s="8"/>
      <c r="P285" s="8"/>
      <c r="Q285" s="8">
        <v>602.33000000000004</v>
      </c>
      <c r="R285" s="8"/>
      <c r="S285" s="8"/>
      <c r="T285" s="8"/>
      <c r="U285" s="8">
        <v>500.11</v>
      </c>
      <c r="V285" s="8"/>
      <c r="W285" s="47">
        <v>700</v>
      </c>
      <c r="Y285" s="73">
        <v>625</v>
      </c>
      <c r="AA285" s="47">
        <f t="shared" ref="AA285:AA290" si="428">AVERAGE(I285:Q285)</f>
        <v>602.33000000000004</v>
      </c>
      <c r="AB285" s="47">
        <f t="shared" ref="AB285:AB290" si="429">MAX(I285:Q285)</f>
        <v>602.33000000000004</v>
      </c>
      <c r="AC285" s="47">
        <f t="shared" ref="AC285:AC290" si="430">MIN(I285:Q285)</f>
        <v>602.33000000000004</v>
      </c>
      <c r="AE285" s="47">
        <f t="shared" ref="AE285:AE290" si="431">+U285-AA285</f>
        <v>-102.22000000000003</v>
      </c>
      <c r="AF285" s="47">
        <f t="shared" ref="AF285:AF290" si="432">+U285-AB285</f>
        <v>-102.22000000000003</v>
      </c>
      <c r="AG285" s="47">
        <f t="shared" ref="AG285:AG290" si="433">+U285-AC285</f>
        <v>-102.22000000000003</v>
      </c>
      <c r="AI285" s="8">
        <f t="shared" ref="AI285:AI290" si="434">+W285-AA285</f>
        <v>97.669999999999959</v>
      </c>
      <c r="AJ285" s="8">
        <f t="shared" ref="AJ285:AJ290" si="435">+W285-AB285</f>
        <v>97.669999999999959</v>
      </c>
      <c r="AK285" s="8">
        <f t="shared" ref="AK285:AK290" si="436">+W285-AC285</f>
        <v>97.669999999999959</v>
      </c>
    </row>
    <row r="286" spans="1:37" s="29" customFormat="1" x14ac:dyDescent="0.2">
      <c r="A286" s="2"/>
      <c r="B286" s="2"/>
      <c r="C286" s="2"/>
      <c r="D286" s="2"/>
      <c r="E286" s="2"/>
      <c r="F286" s="2"/>
      <c r="G286" s="2" t="s">
        <v>372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>
        <v>6.85</v>
      </c>
      <c r="V286" s="8"/>
      <c r="W286" s="47"/>
      <c r="Y286" s="73">
        <v>50</v>
      </c>
      <c r="AA286" s="47"/>
      <c r="AB286" s="47"/>
      <c r="AC286" s="47"/>
      <c r="AE286" s="47"/>
      <c r="AF286" s="47"/>
      <c r="AG286" s="47"/>
      <c r="AI286" s="8"/>
      <c r="AJ286" s="8"/>
      <c r="AK286" s="8"/>
    </row>
    <row r="287" spans="1:37" s="29" customFormat="1" x14ac:dyDescent="0.2">
      <c r="A287" s="2"/>
      <c r="B287" s="2"/>
      <c r="C287" s="2"/>
      <c r="D287" s="2"/>
      <c r="E287" s="2"/>
      <c r="F287" s="2"/>
      <c r="G287" s="2" t="s">
        <v>315</v>
      </c>
      <c r="H287" s="8"/>
      <c r="I287" s="8"/>
      <c r="J287" s="8"/>
      <c r="K287" s="8"/>
      <c r="L287" s="8"/>
      <c r="M287" s="8"/>
      <c r="N287" s="8"/>
      <c r="O287" s="8"/>
      <c r="P287" s="8"/>
      <c r="Q287" s="8">
        <v>40</v>
      </c>
      <c r="R287" s="8"/>
      <c r="S287" s="8"/>
      <c r="T287" s="8"/>
      <c r="U287" s="8">
        <v>452.03</v>
      </c>
      <c r="V287" s="8"/>
      <c r="W287" s="47"/>
      <c r="Y287" s="73">
        <v>200</v>
      </c>
      <c r="AA287" s="47">
        <f t="shared" si="428"/>
        <v>40</v>
      </c>
      <c r="AB287" s="47">
        <f t="shared" si="429"/>
        <v>40</v>
      </c>
      <c r="AC287" s="47">
        <f t="shared" si="430"/>
        <v>40</v>
      </c>
      <c r="AE287" s="47">
        <f t="shared" si="431"/>
        <v>412.03</v>
      </c>
      <c r="AF287" s="47">
        <f t="shared" si="432"/>
        <v>412.03</v>
      </c>
      <c r="AG287" s="47">
        <f t="shared" si="433"/>
        <v>412.03</v>
      </c>
      <c r="AI287" s="8">
        <f t="shared" si="434"/>
        <v>-40</v>
      </c>
      <c r="AJ287" s="8">
        <f t="shared" si="435"/>
        <v>-40</v>
      </c>
      <c r="AK287" s="8">
        <f t="shared" si="436"/>
        <v>-40</v>
      </c>
    </row>
    <row r="288" spans="1:37" s="29" customFormat="1" x14ac:dyDescent="0.2">
      <c r="A288" s="2"/>
      <c r="B288" s="2"/>
      <c r="C288" s="2"/>
      <c r="D288" s="2"/>
      <c r="E288" s="2"/>
      <c r="F288" s="2"/>
      <c r="G288" s="2" t="s">
        <v>298</v>
      </c>
      <c r="H288" s="8"/>
      <c r="I288" s="8"/>
      <c r="J288" s="8"/>
      <c r="K288" s="8"/>
      <c r="L288" s="8"/>
      <c r="M288" s="8"/>
      <c r="N288" s="8"/>
      <c r="O288" s="8"/>
      <c r="P288" s="8"/>
      <c r="Q288" s="8">
        <v>1918.57</v>
      </c>
      <c r="R288" s="8"/>
      <c r="S288" s="8"/>
      <c r="T288" s="8"/>
      <c r="U288" s="8">
        <v>1075</v>
      </c>
      <c r="V288" s="8"/>
      <c r="W288" s="46">
        <v>1900</v>
      </c>
      <c r="Y288" s="73">
        <v>2500</v>
      </c>
      <c r="AA288" s="46">
        <f t="shared" si="428"/>
        <v>1918.57</v>
      </c>
      <c r="AB288" s="46">
        <f t="shared" si="429"/>
        <v>1918.57</v>
      </c>
      <c r="AC288" s="46">
        <f t="shared" si="430"/>
        <v>1918.57</v>
      </c>
      <c r="AE288" s="46">
        <f t="shared" si="431"/>
        <v>-843.56999999999994</v>
      </c>
      <c r="AF288" s="46">
        <f t="shared" si="432"/>
        <v>-843.56999999999994</v>
      </c>
      <c r="AG288" s="46">
        <f t="shared" si="433"/>
        <v>-843.56999999999994</v>
      </c>
      <c r="AI288" s="8">
        <f t="shared" si="434"/>
        <v>-18.569999999999936</v>
      </c>
      <c r="AJ288" s="8">
        <f t="shared" si="435"/>
        <v>-18.569999999999936</v>
      </c>
      <c r="AK288" s="8">
        <f t="shared" si="436"/>
        <v>-18.569999999999936</v>
      </c>
    </row>
    <row r="289" spans="1:37" s="29" customFormat="1" x14ac:dyDescent="0.2">
      <c r="A289" s="2"/>
      <c r="B289" s="2"/>
      <c r="C289" s="2"/>
      <c r="D289" s="2"/>
      <c r="E289" s="2"/>
      <c r="F289" s="2"/>
      <c r="G289" s="2" t="s">
        <v>361</v>
      </c>
      <c r="H289" s="8"/>
      <c r="I289" s="8"/>
      <c r="J289" s="8"/>
      <c r="K289" s="8"/>
      <c r="L289" s="8"/>
      <c r="M289" s="8"/>
      <c r="N289" s="8"/>
      <c r="O289" s="8"/>
      <c r="P289" s="8"/>
      <c r="Q289" s="8">
        <v>67.150000000000006</v>
      </c>
      <c r="R289" s="8"/>
      <c r="S289" s="8"/>
      <c r="T289" s="8"/>
      <c r="U289" s="8">
        <v>894.29</v>
      </c>
      <c r="V289" s="8"/>
      <c r="W289" s="46"/>
      <c r="Y289" s="73">
        <v>500</v>
      </c>
      <c r="AA289" s="46"/>
      <c r="AB289" s="46"/>
      <c r="AC289" s="46"/>
      <c r="AE289" s="46"/>
      <c r="AF289" s="46"/>
      <c r="AG289" s="46"/>
      <c r="AI289" s="8"/>
      <c r="AJ289" s="8"/>
      <c r="AK289" s="8"/>
    </row>
    <row r="290" spans="1:37" s="29" customFormat="1" ht="10.8" thickBot="1" x14ac:dyDescent="0.25">
      <c r="A290" s="2"/>
      <c r="B290" s="2"/>
      <c r="C290" s="2"/>
      <c r="D290" s="2"/>
      <c r="E290" s="2"/>
      <c r="F290" s="2"/>
      <c r="G290" s="2" t="s">
        <v>230</v>
      </c>
      <c r="H290" s="8"/>
      <c r="I290" s="11"/>
      <c r="J290" s="8"/>
      <c r="K290" s="11"/>
      <c r="L290" s="8"/>
      <c r="M290" s="11"/>
      <c r="N290" s="8"/>
      <c r="O290" s="11"/>
      <c r="P290" s="11"/>
      <c r="Q290" s="8">
        <v>61.99</v>
      </c>
      <c r="R290" s="9"/>
      <c r="S290" s="9"/>
      <c r="T290" s="8"/>
      <c r="U290" s="8">
        <v>103.34</v>
      </c>
      <c r="V290" s="8"/>
      <c r="W290" s="39">
        <v>800</v>
      </c>
      <c r="Y290" s="74">
        <v>500</v>
      </c>
      <c r="AA290" s="39">
        <f t="shared" si="428"/>
        <v>61.99</v>
      </c>
      <c r="AB290" s="39">
        <f t="shared" si="429"/>
        <v>61.99</v>
      </c>
      <c r="AC290" s="39">
        <f t="shared" si="430"/>
        <v>61.99</v>
      </c>
      <c r="AE290" s="39">
        <f t="shared" si="431"/>
        <v>41.35</v>
      </c>
      <c r="AF290" s="39">
        <f t="shared" si="432"/>
        <v>41.35</v>
      </c>
      <c r="AG290" s="39">
        <f t="shared" si="433"/>
        <v>41.35</v>
      </c>
      <c r="AI290" s="11">
        <f t="shared" si="434"/>
        <v>738.01</v>
      </c>
      <c r="AJ290" s="11">
        <f t="shared" si="435"/>
        <v>738.01</v>
      </c>
      <c r="AK290" s="11">
        <f t="shared" si="436"/>
        <v>738.01</v>
      </c>
    </row>
    <row r="291" spans="1:37" s="29" customFormat="1" ht="10.8" thickBot="1" x14ac:dyDescent="0.25">
      <c r="A291" s="2"/>
      <c r="B291" s="2"/>
      <c r="C291" s="2"/>
      <c r="D291" s="2"/>
      <c r="E291" s="2"/>
      <c r="F291" s="2" t="s">
        <v>231</v>
      </c>
      <c r="G291" s="2"/>
      <c r="H291" s="8"/>
      <c r="I291" s="65">
        <f>ROUND(SUM(I284:I290),5)</f>
        <v>0</v>
      </c>
      <c r="J291" s="8"/>
      <c r="K291" s="65">
        <f>ROUND(SUM(K284:K290),5)</f>
        <v>0</v>
      </c>
      <c r="L291" s="8"/>
      <c r="M291" s="65">
        <f>ROUND(SUM(M284:M290),5)</f>
        <v>0</v>
      </c>
      <c r="N291" s="8"/>
      <c r="O291" s="65">
        <f>ROUND(SUM(O284:O290),5)</f>
        <v>0</v>
      </c>
      <c r="P291" s="8"/>
      <c r="Q291" s="10">
        <f>ROUND(SUM(Q284:Q290),5)</f>
        <v>2690.04</v>
      </c>
      <c r="R291" s="8"/>
      <c r="S291" s="8"/>
      <c r="T291" s="8"/>
      <c r="U291" s="36">
        <f>ROUND(SUM(U284:U290),5)</f>
        <v>3031.62</v>
      </c>
      <c r="V291" s="11"/>
      <c r="W291" s="36">
        <f>SUM(W285:W290)</f>
        <v>3400</v>
      </c>
      <c r="X291" s="35"/>
      <c r="Y291" s="84">
        <f>ROUND(SUM(Y284:Y290),5)</f>
        <v>4375</v>
      </c>
      <c r="Z291" s="35"/>
      <c r="AA291" s="36">
        <f>ROUND(SUM(AA284:AA290),5)</f>
        <v>2622.89</v>
      </c>
      <c r="AB291" s="36">
        <f>ROUND(SUM(AB284:AB290),5)</f>
        <v>2622.89</v>
      </c>
      <c r="AC291" s="36">
        <f>ROUND(SUM(AC284:AC290),5)</f>
        <v>2622.89</v>
      </c>
      <c r="AD291" s="35"/>
      <c r="AE291" s="36">
        <f>ROUND(SUM(AE284:AE290),5)</f>
        <v>-492.41</v>
      </c>
      <c r="AF291" s="36">
        <f>ROUND(SUM(AF284:AF290),5)</f>
        <v>-492.41</v>
      </c>
      <c r="AG291" s="36">
        <f>ROUND(SUM(AG284:AG290),5)</f>
        <v>-492.41</v>
      </c>
      <c r="AH291" s="35"/>
      <c r="AI291" s="8">
        <f>ROUND(SUM(AI284:AI290),5)</f>
        <v>777.11</v>
      </c>
      <c r="AJ291" s="8">
        <f>ROUND(SUM(AJ284:AJ290),5)</f>
        <v>777.11</v>
      </c>
      <c r="AK291" s="8">
        <f>ROUND(SUM(AK284:AK290),5)</f>
        <v>777.11</v>
      </c>
    </row>
    <row r="292" spans="1:37" s="29" customFormat="1" x14ac:dyDescent="0.2">
      <c r="A292" s="2"/>
      <c r="B292" s="2"/>
      <c r="C292" s="2"/>
      <c r="D292" s="2"/>
      <c r="E292" s="24" t="s">
        <v>232</v>
      </c>
      <c r="F292" s="2"/>
      <c r="G292" s="2"/>
      <c r="H292" s="8"/>
      <c r="I292" s="1">
        <f>ROUND(I273+I280+I283+I291,5)</f>
        <v>0</v>
      </c>
      <c r="J292" s="8"/>
      <c r="K292" s="1">
        <f>ROUND(K273+K280+K283+K291,5)</f>
        <v>0</v>
      </c>
      <c r="L292" s="8"/>
      <c r="M292" s="1">
        <f>ROUND(M273+M280+M283+M291,5)</f>
        <v>0</v>
      </c>
      <c r="N292" s="8"/>
      <c r="O292" s="1">
        <f>ROUND(O273+O280+O283+O291,5)</f>
        <v>0</v>
      </c>
      <c r="P292" s="8"/>
      <c r="Q292" s="8">
        <f>ROUND(Q273+Q280+Q283+Q291,5)</f>
        <v>76971.75</v>
      </c>
      <c r="R292" s="8"/>
      <c r="S292" s="8"/>
      <c r="T292" s="8"/>
      <c r="U292" s="30">
        <f>ROUND(U273+U280+U283+SUM(U291:U291),5)</f>
        <v>58400.85</v>
      </c>
      <c r="V292" s="8"/>
      <c r="W292" s="30">
        <f>ROUND(W273+W280+W283+SUM(W291:W291),5)</f>
        <v>79708</v>
      </c>
      <c r="Y292" s="83">
        <f>ROUND(Y273+Y280+Y283+SUM(Y291:Y291),5)</f>
        <v>73338</v>
      </c>
      <c r="AA292" s="30">
        <f>ROUND(AA273+AA280+AA283+SUM(AA291:AA291),5)</f>
        <v>76904.600000000006</v>
      </c>
      <c r="AB292" s="30">
        <f>ROUND(AB273+AB280+AB283+SUM(AB291:AB291),5)</f>
        <v>76904.600000000006</v>
      </c>
      <c r="AC292" s="30">
        <f>ROUND(AC273+AC280+AC283+SUM(AC291:AC291),5)</f>
        <v>76904.600000000006</v>
      </c>
      <c r="AE292" s="30">
        <f>ROUND(AE273+AE280+AE283+SUM(AE291:AE291),5)</f>
        <v>-19404.89</v>
      </c>
      <c r="AF292" s="30">
        <f>ROUND(AF273+AF280+AF283+SUM(AF291:AF291),5)</f>
        <v>-19404.89</v>
      </c>
      <c r="AG292" s="30">
        <f>ROUND(AG273+AG280+AG283+SUM(AG291:AG291),5)</f>
        <v>-19404.89</v>
      </c>
      <c r="AI292" s="8">
        <f>ROUND(AI273+AI280+AI283+SUM(AI291:AI291),5)</f>
        <v>2803.4</v>
      </c>
      <c r="AJ292" s="8">
        <f>ROUND(AJ273+AJ280+AJ283+SUM(AJ291:AJ291),5)</f>
        <v>2803.4</v>
      </c>
      <c r="AK292" s="8">
        <f>ROUND(AK273+AK280+AK283+SUM(AK291:AK291),5)</f>
        <v>2803.4</v>
      </c>
    </row>
    <row r="293" spans="1:37" s="29" customFormat="1" x14ac:dyDescent="0.2">
      <c r="A293" s="2"/>
      <c r="B293" s="2"/>
      <c r="C293" s="2"/>
      <c r="D293" s="2"/>
      <c r="E293" s="2"/>
      <c r="F293" s="2"/>
      <c r="G293" s="2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Y293" s="8"/>
      <c r="AA293" s="8"/>
      <c r="AB293" s="8"/>
      <c r="AC293" s="8"/>
      <c r="AE293" s="8"/>
      <c r="AF293" s="8"/>
      <c r="AG293" s="8"/>
      <c r="AI293" s="8"/>
      <c r="AJ293" s="8"/>
      <c r="AK293" s="8"/>
    </row>
    <row r="294" spans="1:37" s="29" customFormat="1" x14ac:dyDescent="0.2">
      <c r="A294" s="2"/>
      <c r="B294" s="2"/>
      <c r="C294" s="2"/>
      <c r="D294" s="2"/>
      <c r="E294" s="24" t="s">
        <v>233</v>
      </c>
      <c r="F294" s="2"/>
      <c r="G294" s="2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Y294" s="8"/>
      <c r="AA294" s="8"/>
      <c r="AB294" s="8"/>
      <c r="AC294" s="8"/>
      <c r="AE294" s="8"/>
      <c r="AF294" s="8"/>
      <c r="AG294" s="8"/>
      <c r="AI294" s="8"/>
      <c r="AJ294" s="8"/>
      <c r="AK294" s="8"/>
    </row>
    <row r="295" spans="1:37" s="29" customFormat="1" x14ac:dyDescent="0.2">
      <c r="A295" s="2"/>
      <c r="B295" s="2"/>
      <c r="C295" s="2"/>
      <c r="D295" s="2"/>
      <c r="E295" s="2"/>
      <c r="F295" s="2" t="s">
        <v>234</v>
      </c>
      <c r="G295" s="2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Y295" s="8"/>
      <c r="AA295" s="8"/>
      <c r="AB295" s="8"/>
      <c r="AC295" s="8"/>
      <c r="AE295" s="8"/>
      <c r="AF295" s="8"/>
      <c r="AG295" s="8"/>
      <c r="AI295" s="8"/>
      <c r="AJ295" s="8"/>
      <c r="AK295" s="8"/>
    </row>
    <row r="296" spans="1:37" s="29" customFormat="1" x14ac:dyDescent="0.2">
      <c r="A296" s="2"/>
      <c r="B296" s="2"/>
      <c r="C296" s="2"/>
      <c r="D296" s="2"/>
      <c r="E296" s="2"/>
      <c r="F296" s="2"/>
      <c r="G296" s="2" t="s">
        <v>314</v>
      </c>
      <c r="H296" s="8"/>
      <c r="I296" s="8">
        <v>47606</v>
      </c>
      <c r="J296" s="8"/>
      <c r="K296" s="8">
        <v>47334</v>
      </c>
      <c r="L296" s="8"/>
      <c r="M296" s="8">
        <f>56368</f>
        <v>56368</v>
      </c>
      <c r="N296" s="8"/>
      <c r="O296" s="8">
        <v>58903.8</v>
      </c>
      <c r="P296" s="8"/>
      <c r="Q296" s="8">
        <v>55148.14</v>
      </c>
      <c r="R296" s="8"/>
      <c r="S296" s="8"/>
      <c r="T296" s="8"/>
      <c r="U296" s="8">
        <v>60248.83</v>
      </c>
      <c r="V296" s="8"/>
      <c r="W296" s="46">
        <v>58488</v>
      </c>
      <c r="Y296" s="88">
        <v>68350</v>
      </c>
      <c r="Z296" s="6"/>
      <c r="AA296" s="46">
        <f t="shared" ref="AA296:AA299" si="437">AVERAGE(I296:Q296)</f>
        <v>53071.987999999998</v>
      </c>
      <c r="AB296" s="46">
        <f t="shared" ref="AB296:AB300" si="438">MAX(I296:Q296)</f>
        <v>58903.8</v>
      </c>
      <c r="AC296" s="46">
        <f t="shared" ref="AC296:AC300" si="439">MIN(I296:Q296)</f>
        <v>47334</v>
      </c>
      <c r="AE296" s="46">
        <f t="shared" ref="AE296" si="440">+U296-AA296</f>
        <v>7176.8420000000042</v>
      </c>
      <c r="AF296" s="46">
        <f t="shared" ref="AF296" si="441">+U296-AB296</f>
        <v>1345.0299999999988</v>
      </c>
      <c r="AG296" s="46">
        <f t="shared" ref="AG296" si="442">+U296-AC296</f>
        <v>12914.830000000002</v>
      </c>
      <c r="AI296" s="8">
        <f t="shared" ref="AI296:AI300" si="443">+W296-AA296</f>
        <v>5416.0120000000024</v>
      </c>
      <c r="AJ296" s="8">
        <f t="shared" ref="AJ296:AJ300" si="444">+W296-AB296</f>
        <v>-415.80000000000291</v>
      </c>
      <c r="AK296" s="8">
        <f t="shared" ref="AK296:AK300" si="445">+W296-AC296</f>
        <v>11154</v>
      </c>
    </row>
    <row r="297" spans="1:37" s="29" customFormat="1" x14ac:dyDescent="0.2">
      <c r="A297" s="2"/>
      <c r="B297" s="2"/>
      <c r="C297" s="2"/>
      <c r="D297" s="2"/>
      <c r="E297" s="2"/>
      <c r="F297" s="2"/>
      <c r="G297" s="27" t="s">
        <v>285</v>
      </c>
      <c r="H297" s="8"/>
      <c r="I297" s="8"/>
      <c r="J297" s="8"/>
      <c r="K297" s="8"/>
      <c r="L297" s="8"/>
      <c r="M297" s="8">
        <v>-3860</v>
      </c>
      <c r="N297" s="8"/>
      <c r="O297" s="8">
        <v>-3330</v>
      </c>
      <c r="P297" s="8"/>
      <c r="Q297" s="8">
        <v>4972.71</v>
      </c>
      <c r="R297" s="8"/>
      <c r="S297" s="8"/>
      <c r="T297" s="8"/>
      <c r="U297" s="46">
        <v>0</v>
      </c>
      <c r="V297" s="8"/>
      <c r="W297" s="46" t="s">
        <v>281</v>
      </c>
      <c r="Y297" s="73">
        <v>0</v>
      </c>
      <c r="Z297" s="6"/>
      <c r="AA297" s="46">
        <f t="shared" si="437"/>
        <v>-739.09666666666669</v>
      </c>
      <c r="AB297" s="46">
        <f t="shared" si="438"/>
        <v>4972.71</v>
      </c>
      <c r="AC297" s="46">
        <f t="shared" si="439"/>
        <v>-3860</v>
      </c>
      <c r="AE297" s="46">
        <f>+U297-AA297</f>
        <v>739.09666666666669</v>
      </c>
      <c r="AF297" s="46">
        <f>+U297-AB297</f>
        <v>-4972.71</v>
      </c>
      <c r="AG297" s="46">
        <f>+U297-AC297</f>
        <v>3860</v>
      </c>
      <c r="AI297" s="8"/>
      <c r="AJ297" s="8"/>
      <c r="AK297" s="8"/>
    </row>
    <row r="298" spans="1:37" s="29" customFormat="1" x14ac:dyDescent="0.2">
      <c r="A298" s="2"/>
      <c r="B298" s="2"/>
      <c r="C298" s="2"/>
      <c r="D298" s="2"/>
      <c r="E298" s="2"/>
      <c r="F298" s="2"/>
      <c r="G298" s="2" t="s">
        <v>235</v>
      </c>
      <c r="H298" s="8"/>
      <c r="I298" s="8">
        <v>4954</v>
      </c>
      <c r="J298" s="8"/>
      <c r="K298" s="8">
        <v>4732</v>
      </c>
      <c r="L298" s="8"/>
      <c r="M298" s="8">
        <v>6011</v>
      </c>
      <c r="N298" s="8"/>
      <c r="O298" s="8">
        <v>5450.37</v>
      </c>
      <c r="P298" s="8"/>
      <c r="Q298" s="8">
        <v>76.45</v>
      </c>
      <c r="R298" s="8"/>
      <c r="S298" s="8"/>
      <c r="T298" s="8"/>
      <c r="U298" s="8">
        <v>5489.04</v>
      </c>
      <c r="V298" s="8"/>
      <c r="W298" s="46">
        <v>4475</v>
      </c>
      <c r="Y298" s="73">
        <v>5229</v>
      </c>
      <c r="Z298" s="6"/>
      <c r="AA298" s="46">
        <f t="shared" si="437"/>
        <v>4244.7640000000001</v>
      </c>
      <c r="AB298" s="46">
        <f t="shared" si="438"/>
        <v>6011</v>
      </c>
      <c r="AC298" s="46">
        <f t="shared" si="439"/>
        <v>76.45</v>
      </c>
      <c r="AE298" s="46">
        <f>+U298-AA298</f>
        <v>1244.2759999999998</v>
      </c>
      <c r="AF298" s="46">
        <f>+U298-AB298</f>
        <v>-521.96</v>
      </c>
      <c r="AG298" s="46">
        <f>+U298-AC298</f>
        <v>5412.59</v>
      </c>
      <c r="AI298" s="8">
        <f t="shared" si="443"/>
        <v>230.23599999999988</v>
      </c>
      <c r="AJ298" s="8">
        <f t="shared" si="444"/>
        <v>-1536</v>
      </c>
      <c r="AK298" s="8">
        <f t="shared" si="445"/>
        <v>4398.55</v>
      </c>
    </row>
    <row r="299" spans="1:37" s="32" customFormat="1" x14ac:dyDescent="0.2">
      <c r="A299" s="26"/>
      <c r="B299" s="26"/>
      <c r="C299" s="26"/>
      <c r="D299" s="26"/>
      <c r="E299" s="26"/>
      <c r="F299" s="26"/>
      <c r="G299" s="26" t="s">
        <v>236</v>
      </c>
      <c r="H299" s="9"/>
      <c r="I299" s="9"/>
      <c r="J299" s="9"/>
      <c r="K299" s="9"/>
      <c r="L299" s="9"/>
      <c r="M299" s="9"/>
      <c r="N299" s="9"/>
      <c r="O299" s="9"/>
      <c r="P299" s="9"/>
      <c r="Q299" s="9">
        <v>0</v>
      </c>
      <c r="R299" s="9"/>
      <c r="S299" s="9"/>
      <c r="T299" s="9"/>
      <c r="U299" s="8">
        <v>14.35</v>
      </c>
      <c r="V299" s="9"/>
      <c r="W299" s="50">
        <v>75</v>
      </c>
      <c r="Y299" s="81">
        <v>30</v>
      </c>
      <c r="Z299" s="43"/>
      <c r="AA299" s="9">
        <f t="shared" si="437"/>
        <v>0</v>
      </c>
      <c r="AB299" s="9">
        <f t="shared" si="438"/>
        <v>0</v>
      </c>
      <c r="AC299" s="9">
        <f t="shared" si="439"/>
        <v>0</v>
      </c>
      <c r="AD299" s="29"/>
      <c r="AE299" s="9">
        <f>+U299-AA299</f>
        <v>14.35</v>
      </c>
      <c r="AF299" s="9">
        <f>+U299-AB299</f>
        <v>14.35</v>
      </c>
      <c r="AG299" s="9">
        <f>+U299-AC299</f>
        <v>14.35</v>
      </c>
      <c r="AH299" s="29"/>
      <c r="AI299" s="9">
        <f t="shared" si="443"/>
        <v>75</v>
      </c>
      <c r="AJ299" s="9">
        <f t="shared" si="444"/>
        <v>75</v>
      </c>
      <c r="AK299" s="9">
        <f t="shared" si="445"/>
        <v>75</v>
      </c>
    </row>
    <row r="300" spans="1:37" s="29" customFormat="1" ht="10.8" thickBot="1" x14ac:dyDescent="0.25">
      <c r="A300" s="2"/>
      <c r="B300" s="2"/>
      <c r="C300" s="2"/>
      <c r="D300" s="2"/>
      <c r="E300" s="2"/>
      <c r="F300" s="2"/>
      <c r="G300" s="2" t="s">
        <v>305</v>
      </c>
      <c r="H300" s="8"/>
      <c r="I300" s="11"/>
      <c r="J300" s="8"/>
      <c r="K300" s="11"/>
      <c r="L300" s="8"/>
      <c r="M300" s="11"/>
      <c r="N300" s="8"/>
      <c r="O300" s="11"/>
      <c r="P300" s="11"/>
      <c r="Q300" s="11"/>
      <c r="R300" s="9"/>
      <c r="S300" s="9"/>
      <c r="T300" s="8"/>
      <c r="U300" s="11">
        <v>150</v>
      </c>
      <c r="V300" s="8"/>
      <c r="W300" s="42">
        <v>155</v>
      </c>
      <c r="Y300" s="74">
        <v>199</v>
      </c>
      <c r="Z300" s="6"/>
      <c r="AA300" s="11"/>
      <c r="AB300" s="11">
        <f t="shared" si="438"/>
        <v>0</v>
      </c>
      <c r="AC300" s="11">
        <f t="shared" si="439"/>
        <v>0</v>
      </c>
      <c r="AE300" s="11">
        <f>+U300-AA300</f>
        <v>150</v>
      </c>
      <c r="AF300" s="11">
        <f>+U300-AB300</f>
        <v>150</v>
      </c>
      <c r="AG300" s="11">
        <f>+U300-AC300</f>
        <v>150</v>
      </c>
      <c r="AI300" s="11">
        <f t="shared" si="443"/>
        <v>155</v>
      </c>
      <c r="AJ300" s="11">
        <f t="shared" si="444"/>
        <v>155</v>
      </c>
      <c r="AK300" s="11">
        <f t="shared" si="445"/>
        <v>155</v>
      </c>
    </row>
    <row r="301" spans="1:37" s="29" customFormat="1" x14ac:dyDescent="0.2">
      <c r="A301" s="2"/>
      <c r="B301" s="2"/>
      <c r="C301" s="2"/>
      <c r="D301" s="2"/>
      <c r="E301" s="2"/>
      <c r="F301" s="2" t="s">
        <v>237</v>
      </c>
      <c r="G301" s="2"/>
      <c r="H301" s="8"/>
      <c r="I301" s="8">
        <f>ROUND(SUM(I295:I300),5)</f>
        <v>52560</v>
      </c>
      <c r="J301" s="8"/>
      <c r="K301" s="8">
        <f>ROUND(SUM(K295:K300),5)</f>
        <v>52066</v>
      </c>
      <c r="L301" s="8"/>
      <c r="M301" s="8">
        <f>ROUND(SUM(M295:M300),5)</f>
        <v>58519</v>
      </c>
      <c r="N301" s="8"/>
      <c r="O301" s="8">
        <f>ROUND(SUM(O295:O300),5)</f>
        <v>61024.17</v>
      </c>
      <c r="P301" s="8"/>
      <c r="Q301" s="8">
        <f>ROUND(SUM(Q295:Q300),5)</f>
        <v>60197.3</v>
      </c>
      <c r="R301" s="8"/>
      <c r="S301" s="8"/>
      <c r="T301" s="8"/>
      <c r="U301" s="38">
        <f>ROUND(SUM(U295:U300),5)</f>
        <v>65902.22</v>
      </c>
      <c r="V301" s="8"/>
      <c r="W301" s="38">
        <f>SUM(W296:W300)</f>
        <v>63193</v>
      </c>
      <c r="Y301" s="75">
        <f>ROUND(SUM(Y295:Y300),5)</f>
        <v>73808</v>
      </c>
      <c r="AA301" s="8">
        <f>ROUND(SUM(AA295:AA300),5)</f>
        <v>56577.655330000001</v>
      </c>
      <c r="AB301" s="8">
        <f>ROUND(SUM(AB295:AB300),5)</f>
        <v>69887.509999999995</v>
      </c>
      <c r="AC301" s="8">
        <f>ROUND(SUM(AC295:AC300),5)</f>
        <v>43550.45</v>
      </c>
      <c r="AE301" s="8">
        <f t="shared" ref="AE301:AG301" si="446">ROUND(SUM(AE295:AE300),5)</f>
        <v>9324.5646699999998</v>
      </c>
      <c r="AF301" s="8">
        <f t="shared" si="446"/>
        <v>-3985.29</v>
      </c>
      <c r="AG301" s="8">
        <f t="shared" si="446"/>
        <v>22351.77</v>
      </c>
      <c r="AI301" s="8">
        <f t="shared" ref="AI301:AK301" si="447">ROUND(SUM(AI295:AI300),5)</f>
        <v>5876.2479999999996</v>
      </c>
      <c r="AJ301" s="8">
        <f t="shared" si="447"/>
        <v>-1721.8</v>
      </c>
      <c r="AK301" s="8">
        <f t="shared" si="447"/>
        <v>15782.55</v>
      </c>
    </row>
    <row r="302" spans="1:37" s="29" customFormat="1" x14ac:dyDescent="0.2">
      <c r="A302" s="2"/>
      <c r="B302" s="2"/>
      <c r="C302" s="2"/>
      <c r="D302" s="2"/>
      <c r="E302" s="2"/>
      <c r="F302" s="2" t="s">
        <v>238</v>
      </c>
      <c r="G302" s="2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Y302" s="8"/>
      <c r="AA302" s="8"/>
      <c r="AB302" s="8"/>
      <c r="AC302" s="8"/>
      <c r="AE302" s="8"/>
      <c r="AF302" s="8"/>
      <c r="AG302" s="8"/>
      <c r="AI302" s="8"/>
      <c r="AJ302" s="8"/>
      <c r="AK302" s="8"/>
    </row>
    <row r="303" spans="1:37" s="29" customFormat="1" x14ac:dyDescent="0.2">
      <c r="A303" s="2"/>
      <c r="B303" s="2"/>
      <c r="C303" s="2"/>
      <c r="D303" s="2"/>
      <c r="E303" s="2"/>
      <c r="F303" s="2"/>
      <c r="G303" s="2" t="s">
        <v>239</v>
      </c>
      <c r="H303" s="8"/>
      <c r="I303" s="8"/>
      <c r="J303" s="8"/>
      <c r="K303" s="8"/>
      <c r="L303" s="8"/>
      <c r="M303" s="8"/>
      <c r="N303" s="8"/>
      <c r="O303" s="8"/>
      <c r="P303" s="8"/>
      <c r="Q303" s="8">
        <v>1331.76</v>
      </c>
      <c r="R303" s="8"/>
      <c r="S303" s="8"/>
      <c r="T303" s="8"/>
      <c r="U303" s="8">
        <v>1020.74</v>
      </c>
      <c r="V303" s="8"/>
      <c r="W303" s="47">
        <v>600</v>
      </c>
      <c r="Y303" s="73">
        <v>1200</v>
      </c>
      <c r="AA303" s="8"/>
      <c r="AB303" s="8">
        <f>MAX(H303:O303)</f>
        <v>0</v>
      </c>
      <c r="AC303" s="8">
        <f>MIN(H303:O303)</f>
        <v>0</v>
      </c>
      <c r="AE303" s="8">
        <f>+U303-AA303</f>
        <v>1020.74</v>
      </c>
      <c r="AF303" s="8">
        <f>+U303-AB303</f>
        <v>1020.74</v>
      </c>
      <c r="AG303" s="8">
        <f>+U303-AC303</f>
        <v>1020.74</v>
      </c>
      <c r="AI303" s="8">
        <f>+W303-AA303</f>
        <v>600</v>
      </c>
      <c r="AJ303" s="8">
        <f>+W303-AB303</f>
        <v>600</v>
      </c>
      <c r="AK303" s="8">
        <f>+W303-AC303</f>
        <v>600</v>
      </c>
    </row>
    <row r="304" spans="1:37" s="29" customFormat="1" x14ac:dyDescent="0.2">
      <c r="A304" s="2"/>
      <c r="B304" s="2"/>
      <c r="C304" s="2"/>
      <c r="D304" s="2"/>
      <c r="E304" s="2"/>
      <c r="F304" s="2"/>
      <c r="G304" s="2" t="s">
        <v>240</v>
      </c>
      <c r="H304" s="8"/>
      <c r="I304" s="8">
        <v>10</v>
      </c>
      <c r="J304" s="8"/>
      <c r="K304" s="8"/>
      <c r="L304" s="8"/>
      <c r="M304" s="8"/>
      <c r="N304" s="8"/>
      <c r="O304" s="8">
        <v>522</v>
      </c>
      <c r="P304" s="8"/>
      <c r="Q304" s="8">
        <v>0</v>
      </c>
      <c r="R304" s="8"/>
      <c r="S304" s="8"/>
      <c r="T304" s="8"/>
      <c r="U304" s="8">
        <v>0</v>
      </c>
      <c r="V304" s="8"/>
      <c r="W304" s="47">
        <v>250</v>
      </c>
      <c r="Y304" s="73">
        <v>0</v>
      </c>
      <c r="AA304" s="8">
        <f t="shared" ref="AA304:AA308" si="448">AVERAGE(I304:Q304)</f>
        <v>177.33333333333334</v>
      </c>
      <c r="AB304" s="8">
        <f t="shared" ref="AB304:AB308" si="449">MAX(I304:Q304)</f>
        <v>522</v>
      </c>
      <c r="AC304" s="8">
        <f t="shared" ref="AC304:AC308" si="450">MIN(I304:Q304)</f>
        <v>0</v>
      </c>
      <c r="AE304" s="8">
        <f t="shared" ref="AE304:AE308" si="451">+U304-AA304</f>
        <v>-177.33333333333334</v>
      </c>
      <c r="AF304" s="8">
        <f t="shared" ref="AF304:AF308" si="452">+U304-AB304</f>
        <v>-522</v>
      </c>
      <c r="AG304" s="8">
        <f t="shared" ref="AG304:AG308" si="453">+U304-AC304</f>
        <v>0</v>
      </c>
      <c r="AI304" s="8">
        <f t="shared" ref="AI304:AI308" si="454">+W304-AA304</f>
        <v>72.666666666666657</v>
      </c>
      <c r="AJ304" s="8">
        <f t="shared" ref="AJ304:AJ308" si="455">+W304-AB304</f>
        <v>-272</v>
      </c>
      <c r="AK304" s="8">
        <f t="shared" ref="AK304:AK308" si="456">+W304-AC304</f>
        <v>250</v>
      </c>
    </row>
    <row r="305" spans="1:37" s="29" customFormat="1" x14ac:dyDescent="0.2">
      <c r="A305" s="2"/>
      <c r="B305" s="2"/>
      <c r="C305" s="2"/>
      <c r="D305" s="2"/>
      <c r="E305" s="2"/>
      <c r="F305" s="2"/>
      <c r="G305" s="2" t="s">
        <v>241</v>
      </c>
      <c r="H305" s="8"/>
      <c r="I305" s="8">
        <v>1315</v>
      </c>
      <c r="J305" s="8"/>
      <c r="K305" s="8">
        <v>1138</v>
      </c>
      <c r="L305" s="8"/>
      <c r="M305" s="8">
        <v>1070</v>
      </c>
      <c r="N305" s="8"/>
      <c r="O305" s="8">
        <v>793.64</v>
      </c>
      <c r="P305" s="8"/>
      <c r="Q305" s="8">
        <v>804.42</v>
      </c>
      <c r="R305" s="8"/>
      <c r="S305" s="8"/>
      <c r="T305" s="8"/>
      <c r="U305" s="8">
        <v>0</v>
      </c>
      <c r="V305" s="8"/>
      <c r="W305" s="47">
        <v>1200</v>
      </c>
      <c r="Y305" s="73">
        <v>0</v>
      </c>
      <c r="AA305" s="8">
        <f t="shared" si="448"/>
        <v>1024.212</v>
      </c>
      <c r="AB305" s="8">
        <f t="shared" si="449"/>
        <v>1315</v>
      </c>
      <c r="AC305" s="8">
        <f t="shared" si="450"/>
        <v>793.64</v>
      </c>
      <c r="AE305" s="8">
        <f t="shared" si="451"/>
        <v>-1024.212</v>
      </c>
      <c r="AF305" s="8">
        <f t="shared" si="452"/>
        <v>-1315</v>
      </c>
      <c r="AG305" s="8">
        <f t="shared" si="453"/>
        <v>-793.64</v>
      </c>
      <c r="AI305" s="8">
        <f t="shared" si="454"/>
        <v>175.78800000000001</v>
      </c>
      <c r="AJ305" s="8">
        <f t="shared" si="455"/>
        <v>-115</v>
      </c>
      <c r="AK305" s="8">
        <f t="shared" si="456"/>
        <v>406.36</v>
      </c>
    </row>
    <row r="306" spans="1:37" s="29" customFormat="1" x14ac:dyDescent="0.2">
      <c r="A306" s="2"/>
      <c r="B306" s="2"/>
      <c r="C306" s="2"/>
      <c r="D306" s="2"/>
      <c r="E306" s="2"/>
      <c r="F306" s="2"/>
      <c r="G306" s="2" t="s">
        <v>373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>
        <v>127.06</v>
      </c>
      <c r="V306" s="8"/>
      <c r="W306" s="47"/>
      <c r="Y306" s="73"/>
      <c r="AA306" s="8"/>
      <c r="AB306" s="8"/>
      <c r="AC306" s="8"/>
      <c r="AE306" s="8"/>
      <c r="AF306" s="8"/>
      <c r="AG306" s="8"/>
      <c r="AI306" s="8"/>
      <c r="AJ306" s="8"/>
      <c r="AK306" s="8"/>
    </row>
    <row r="307" spans="1:37" s="29" customFormat="1" x14ac:dyDescent="0.2">
      <c r="A307" s="2"/>
      <c r="B307" s="2"/>
      <c r="C307" s="2"/>
      <c r="D307" s="2"/>
      <c r="E307" s="2"/>
      <c r="F307" s="2"/>
      <c r="G307" s="2" t="s">
        <v>242</v>
      </c>
      <c r="H307" s="8"/>
      <c r="I307" s="8">
        <v>2237</v>
      </c>
      <c r="J307" s="8"/>
      <c r="K307" s="8">
        <v>1228</v>
      </c>
      <c r="L307" s="8"/>
      <c r="M307" s="8">
        <v>2513</v>
      </c>
      <c r="N307" s="8"/>
      <c r="O307" s="8">
        <v>884.74</v>
      </c>
      <c r="P307" s="8"/>
      <c r="Q307" s="8">
        <v>2130.25</v>
      </c>
      <c r="R307" s="8"/>
      <c r="S307" s="8"/>
      <c r="T307" s="8"/>
      <c r="U307" s="8">
        <v>401.47</v>
      </c>
      <c r="V307" s="8"/>
      <c r="W307" s="47">
        <v>2200</v>
      </c>
      <c r="Y307" s="73">
        <v>1800</v>
      </c>
      <c r="AA307" s="8">
        <f t="shared" si="448"/>
        <v>1798.598</v>
      </c>
      <c r="AB307" s="8">
        <f t="shared" si="449"/>
        <v>2513</v>
      </c>
      <c r="AC307" s="8">
        <f t="shared" si="450"/>
        <v>884.74</v>
      </c>
      <c r="AE307" s="8">
        <f t="shared" si="451"/>
        <v>-1397.1279999999999</v>
      </c>
      <c r="AF307" s="8">
        <f t="shared" si="452"/>
        <v>-2111.5299999999997</v>
      </c>
      <c r="AG307" s="8">
        <f t="shared" si="453"/>
        <v>-483.27</v>
      </c>
      <c r="AI307" s="8">
        <f t="shared" si="454"/>
        <v>401.40200000000004</v>
      </c>
      <c r="AJ307" s="8">
        <f t="shared" si="455"/>
        <v>-313</v>
      </c>
      <c r="AK307" s="8">
        <f t="shared" si="456"/>
        <v>1315.26</v>
      </c>
    </row>
    <row r="308" spans="1:37" s="29" customFormat="1" ht="10.8" thickBot="1" x14ac:dyDescent="0.25">
      <c r="A308" s="2"/>
      <c r="B308" s="2"/>
      <c r="C308" s="2"/>
      <c r="D308" s="2"/>
      <c r="E308" s="2"/>
      <c r="F308" s="2"/>
      <c r="G308" s="2" t="s">
        <v>243</v>
      </c>
      <c r="H308" s="8"/>
      <c r="I308" s="9">
        <v>1368</v>
      </c>
      <c r="J308" s="8"/>
      <c r="K308" s="9">
        <v>811</v>
      </c>
      <c r="L308" s="8"/>
      <c r="M308" s="9">
        <v>1626</v>
      </c>
      <c r="N308" s="8"/>
      <c r="O308" s="9">
        <v>3224.19</v>
      </c>
      <c r="P308" s="9"/>
      <c r="Q308" s="8">
        <v>424</v>
      </c>
      <c r="R308" s="9"/>
      <c r="S308" s="9"/>
      <c r="T308" s="8"/>
      <c r="U308" s="8">
        <v>212.76</v>
      </c>
      <c r="V308" s="8"/>
      <c r="W308" s="48">
        <v>1800</v>
      </c>
      <c r="Y308" s="81">
        <v>1500</v>
      </c>
      <c r="AA308" s="9">
        <f t="shared" si="448"/>
        <v>1490.6380000000001</v>
      </c>
      <c r="AB308" s="9">
        <f t="shared" si="449"/>
        <v>3224.19</v>
      </c>
      <c r="AC308" s="9">
        <f t="shared" si="450"/>
        <v>424</v>
      </c>
      <c r="AE308" s="9">
        <f t="shared" si="451"/>
        <v>-1277.8780000000002</v>
      </c>
      <c r="AF308" s="9">
        <f t="shared" si="452"/>
        <v>-3011.4300000000003</v>
      </c>
      <c r="AG308" s="9">
        <f t="shared" si="453"/>
        <v>-211.24</v>
      </c>
      <c r="AI308" s="9">
        <f t="shared" si="454"/>
        <v>309.36199999999985</v>
      </c>
      <c r="AJ308" s="9">
        <f t="shared" si="455"/>
        <v>-1424.19</v>
      </c>
      <c r="AK308" s="9">
        <f t="shared" si="456"/>
        <v>1376</v>
      </c>
    </row>
    <row r="309" spans="1:37" s="29" customFormat="1" ht="10.8" thickBot="1" x14ac:dyDescent="0.25">
      <c r="A309" s="2"/>
      <c r="B309" s="2"/>
      <c r="C309" s="2"/>
      <c r="D309" s="2"/>
      <c r="E309" s="2"/>
      <c r="F309" s="2" t="s">
        <v>244</v>
      </c>
      <c r="G309" s="2"/>
      <c r="H309" s="8"/>
      <c r="I309" s="10">
        <f>ROUND(SUM(I302:I308),5)</f>
        <v>4930</v>
      </c>
      <c r="J309" s="8"/>
      <c r="K309" s="10">
        <f>ROUND(SUM(K302:K308),5)</f>
        <v>3177</v>
      </c>
      <c r="L309" s="8"/>
      <c r="M309" s="10">
        <f>ROUND(SUM(M302:M308),5)</f>
        <v>5209</v>
      </c>
      <c r="N309" s="8"/>
      <c r="O309" s="10">
        <f>ROUND(SUM(O302:O308),5)</f>
        <v>5424.57</v>
      </c>
      <c r="P309" s="10"/>
      <c r="Q309" s="10">
        <f>ROUND(SUM(Q302:Q308),5)</f>
        <v>4690.43</v>
      </c>
      <c r="R309" s="9"/>
      <c r="S309" s="9"/>
      <c r="T309" s="8"/>
      <c r="U309" s="37">
        <f>ROUND(SUM(U302:U308),5)</f>
        <v>1762.03</v>
      </c>
      <c r="V309" s="8"/>
      <c r="W309" s="37">
        <f>SUM(W303:W308)</f>
        <v>6050</v>
      </c>
      <c r="Y309" s="82">
        <f>ROUND(SUM(Y302:Y308),5)</f>
        <v>4500</v>
      </c>
      <c r="AA309" s="10">
        <f t="shared" ref="AA309:AC309" si="457">ROUND(SUM(AA302:AA308),5)</f>
        <v>4490.7813299999998</v>
      </c>
      <c r="AB309" s="10">
        <f t="shared" si="457"/>
        <v>7574.19</v>
      </c>
      <c r="AC309" s="10">
        <f t="shared" si="457"/>
        <v>2102.38</v>
      </c>
      <c r="AE309" s="10">
        <f t="shared" ref="AE309" si="458">ROUND(SUM(AE302:AE308),5)</f>
        <v>-2855.81133</v>
      </c>
      <c r="AF309" s="10">
        <f t="shared" ref="AF309" si="459">ROUND(SUM(AF302:AF308),5)</f>
        <v>-5939.22</v>
      </c>
      <c r="AG309" s="10">
        <f t="shared" ref="AG309" si="460">ROUND(SUM(AG302:AG308),5)</f>
        <v>-467.41</v>
      </c>
      <c r="AI309" s="10">
        <f t="shared" ref="AI309:AK309" si="461">ROUND(SUM(AI302:AI308),5)</f>
        <v>1559.21867</v>
      </c>
      <c r="AJ309" s="10">
        <f t="shared" si="461"/>
        <v>-1524.19</v>
      </c>
      <c r="AK309" s="10">
        <f t="shared" si="461"/>
        <v>3947.62</v>
      </c>
    </row>
    <row r="310" spans="1:37" s="29" customFormat="1" x14ac:dyDescent="0.2">
      <c r="A310" s="2"/>
      <c r="B310" s="2"/>
      <c r="C310" s="2"/>
      <c r="D310" s="2"/>
      <c r="E310" s="24" t="s">
        <v>245</v>
      </c>
      <c r="F310" s="2"/>
      <c r="G310" s="2"/>
      <c r="H310" s="8"/>
      <c r="I310" s="8">
        <f>ROUND(I294+I301+I309,5)</f>
        <v>57490</v>
      </c>
      <c r="J310" s="8"/>
      <c r="K310" s="8">
        <f>ROUND(K294+K301+K309,5)</f>
        <v>55243</v>
      </c>
      <c r="L310" s="8"/>
      <c r="M310" s="8">
        <f>ROUND(M294+M301+M309,5)</f>
        <v>63728</v>
      </c>
      <c r="N310" s="8"/>
      <c r="O310" s="8">
        <f>ROUND(O294+O301+O309,5)</f>
        <v>66448.740000000005</v>
      </c>
      <c r="P310" s="8"/>
      <c r="Q310" s="8">
        <f>ROUND(Q294+Q301+Q309,5)</f>
        <v>64887.73</v>
      </c>
      <c r="R310" s="8"/>
      <c r="S310" s="8"/>
      <c r="T310" s="8"/>
      <c r="U310" s="30">
        <f>ROUND(U294+U301+U309,5)</f>
        <v>67664.25</v>
      </c>
      <c r="V310" s="8"/>
      <c r="W310" s="30">
        <f>ROUND(W294+W301+W309,5)</f>
        <v>69243</v>
      </c>
      <c r="Y310" s="75">
        <f>ROUND(Y294+Y301+Y309,5)</f>
        <v>78308</v>
      </c>
      <c r="AA310" s="8">
        <f t="shared" ref="AA310:AC310" si="462">ROUND(AA294+AA301+AA309,5)</f>
        <v>61068.436659999999</v>
      </c>
      <c r="AB310" s="8">
        <f t="shared" si="462"/>
        <v>77461.7</v>
      </c>
      <c r="AC310" s="8">
        <f t="shared" si="462"/>
        <v>45652.83</v>
      </c>
      <c r="AE310" s="8">
        <f t="shared" ref="AE310" si="463">ROUND(AE294+AE301+AE309,5)</f>
        <v>6468.7533400000002</v>
      </c>
      <c r="AF310" s="8">
        <f t="shared" ref="AF310" si="464">ROUND(AF294+AF301+AF309,5)</f>
        <v>-9924.51</v>
      </c>
      <c r="AG310" s="8">
        <f t="shared" ref="AG310" si="465">ROUND(AG294+AG301+AG309,5)</f>
        <v>21884.36</v>
      </c>
      <c r="AI310" s="8">
        <f t="shared" ref="AI310:AK310" si="466">ROUND(AI294+AI301+AI309,5)</f>
        <v>7435.4666699999998</v>
      </c>
      <c r="AJ310" s="8">
        <f t="shared" si="466"/>
        <v>-3245.99</v>
      </c>
      <c r="AK310" s="8">
        <f t="shared" si="466"/>
        <v>19730.169999999998</v>
      </c>
    </row>
    <row r="311" spans="1:37" s="29" customFormat="1" x14ac:dyDescent="0.2">
      <c r="A311" s="2"/>
      <c r="B311" s="2"/>
      <c r="C311" s="2"/>
      <c r="D311" s="2"/>
      <c r="E311" s="2"/>
      <c r="F311" s="2"/>
      <c r="G311" s="2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Y311" s="8"/>
      <c r="AA311" s="8"/>
      <c r="AB311" s="8"/>
      <c r="AC311" s="8"/>
      <c r="AE311" s="8"/>
      <c r="AF311" s="8"/>
      <c r="AG311" s="8"/>
      <c r="AI311" s="8"/>
      <c r="AJ311" s="8"/>
      <c r="AK311" s="8"/>
    </row>
    <row r="312" spans="1:37" s="29" customFormat="1" x14ac:dyDescent="0.2">
      <c r="A312" s="2"/>
      <c r="B312" s="2"/>
      <c r="C312" s="2"/>
      <c r="D312" s="2"/>
      <c r="E312" s="24" t="s">
        <v>246</v>
      </c>
      <c r="F312" s="2"/>
      <c r="G312" s="24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Y312" s="8"/>
      <c r="AA312" s="8"/>
      <c r="AB312" s="8"/>
      <c r="AC312" s="8"/>
      <c r="AE312" s="8"/>
      <c r="AF312" s="8"/>
      <c r="AG312" s="8"/>
      <c r="AI312" s="8"/>
      <c r="AJ312" s="8"/>
      <c r="AK312" s="8"/>
    </row>
    <row r="313" spans="1:37" s="29" customFormat="1" x14ac:dyDescent="0.2">
      <c r="A313" s="2"/>
      <c r="B313" s="2"/>
      <c r="C313" s="2"/>
      <c r="D313" s="2"/>
      <c r="E313" s="2"/>
      <c r="F313" s="2" t="s">
        <v>247</v>
      </c>
      <c r="G313" s="2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Y313" s="8"/>
      <c r="AA313" s="8"/>
      <c r="AB313" s="8"/>
      <c r="AC313" s="8"/>
      <c r="AE313" s="8"/>
      <c r="AF313" s="8"/>
      <c r="AG313" s="8"/>
      <c r="AI313" s="8"/>
      <c r="AJ313" s="8"/>
      <c r="AK313" s="8"/>
    </row>
    <row r="314" spans="1:37" s="29" customFormat="1" x14ac:dyDescent="0.2">
      <c r="A314" s="2"/>
      <c r="B314" s="2"/>
      <c r="C314" s="2"/>
      <c r="D314" s="2"/>
      <c r="E314" s="2"/>
      <c r="F314" s="2"/>
      <c r="G314" s="51" t="s">
        <v>248</v>
      </c>
      <c r="H314" s="8"/>
      <c r="I314" s="8">
        <v>275480</v>
      </c>
      <c r="J314" s="8"/>
      <c r="K314" s="8">
        <v>295049</v>
      </c>
      <c r="L314" s="8"/>
      <c r="M314" s="8">
        <v>272772</v>
      </c>
      <c r="N314" s="8"/>
      <c r="O314" s="8">
        <v>295921.73</v>
      </c>
      <c r="P314" s="8"/>
      <c r="Q314" s="8">
        <v>317178.53000000003</v>
      </c>
      <c r="R314" s="8"/>
      <c r="S314" s="8"/>
      <c r="T314" s="8"/>
      <c r="U314" s="8">
        <v>321657.94</v>
      </c>
      <c r="V314" s="8"/>
      <c r="W314" s="46">
        <v>327756</v>
      </c>
      <c r="Y314" s="73">
        <v>343256</v>
      </c>
      <c r="AA314" s="8">
        <f t="shared" ref="AA314:AA318" si="467">AVERAGE(I314:Q314)</f>
        <v>291280.25199999998</v>
      </c>
      <c r="AB314" s="8">
        <f t="shared" ref="AB314:AB318" si="468">MAX(I314:Q314)</f>
        <v>317178.53000000003</v>
      </c>
      <c r="AC314" s="8">
        <f t="shared" ref="AC314:AC318" si="469">MIN(I314:Q314)</f>
        <v>272772</v>
      </c>
      <c r="AE314" s="8">
        <f t="shared" ref="AE314:AE318" si="470">+U314-AA314</f>
        <v>30377.688000000024</v>
      </c>
      <c r="AF314" s="8">
        <f t="shared" ref="AF314:AF318" si="471">+U314-AB314</f>
        <v>4479.4099999999744</v>
      </c>
      <c r="AG314" s="8">
        <f t="shared" ref="AG314:AG318" si="472">+U314-AC314</f>
        <v>48885.94</v>
      </c>
      <c r="AI314" s="8">
        <f t="shared" ref="AI314:AI318" si="473">+W314-AA314</f>
        <v>36475.748000000021</v>
      </c>
      <c r="AJ314" s="8">
        <f t="shared" ref="AJ314:AJ318" si="474">+W314-AB314</f>
        <v>10577.469999999972</v>
      </c>
      <c r="AK314" s="8">
        <f t="shared" ref="AK314:AK318" si="475">+W314-AC314</f>
        <v>54984</v>
      </c>
    </row>
    <row r="315" spans="1:37" s="29" customFormat="1" x14ac:dyDescent="0.2">
      <c r="A315" s="2"/>
      <c r="B315" s="2"/>
      <c r="C315" s="2"/>
      <c r="D315" s="2"/>
      <c r="E315" s="2"/>
      <c r="F315" s="2"/>
      <c r="G315" s="51" t="s">
        <v>249</v>
      </c>
      <c r="H315" s="8"/>
      <c r="I315" s="8">
        <v>28394</v>
      </c>
      <c r="J315" s="8"/>
      <c r="K315" s="8">
        <v>29064</v>
      </c>
      <c r="L315" s="8"/>
      <c r="M315" s="8">
        <v>25994</v>
      </c>
      <c r="N315" s="8"/>
      <c r="O315" s="8">
        <v>27839.02</v>
      </c>
      <c r="P315" s="8"/>
      <c r="Q315" s="8">
        <v>29379.65</v>
      </c>
      <c r="R315" s="8"/>
      <c r="S315" s="8"/>
      <c r="T315" s="8"/>
      <c r="U315" s="8">
        <v>29831.97</v>
      </c>
      <c r="V315" s="8"/>
      <c r="W315" s="46">
        <v>25074</v>
      </c>
      <c r="Y315" s="73">
        <v>26259</v>
      </c>
      <c r="AA315" s="8">
        <f t="shared" si="467"/>
        <v>28134.134000000002</v>
      </c>
      <c r="AB315" s="8">
        <f t="shared" si="468"/>
        <v>29379.65</v>
      </c>
      <c r="AC315" s="8">
        <f t="shared" si="469"/>
        <v>25994</v>
      </c>
      <c r="AE315" s="8">
        <f t="shared" si="470"/>
        <v>1697.8359999999993</v>
      </c>
      <c r="AF315" s="8">
        <f t="shared" si="471"/>
        <v>452.31999999999971</v>
      </c>
      <c r="AG315" s="8">
        <f t="shared" si="472"/>
        <v>3837.9700000000012</v>
      </c>
      <c r="AI315" s="8">
        <f t="shared" si="473"/>
        <v>-3060.1340000000018</v>
      </c>
      <c r="AJ315" s="8">
        <f t="shared" si="474"/>
        <v>-4305.6500000000015</v>
      </c>
      <c r="AK315" s="8">
        <f t="shared" si="475"/>
        <v>-920</v>
      </c>
    </row>
    <row r="316" spans="1:37" s="29" customFormat="1" x14ac:dyDescent="0.2">
      <c r="A316" s="2"/>
      <c r="B316" s="2"/>
      <c r="C316" s="2"/>
      <c r="D316" s="2"/>
      <c r="E316" s="2"/>
      <c r="F316" s="2"/>
      <c r="G316" s="2" t="s">
        <v>250</v>
      </c>
      <c r="H316" s="8"/>
      <c r="I316" s="8">
        <v>494</v>
      </c>
      <c r="J316" s="8"/>
      <c r="K316" s="8">
        <v>502</v>
      </c>
      <c r="L316" s="8"/>
      <c r="M316" s="8">
        <v>105</v>
      </c>
      <c r="N316" s="8"/>
      <c r="O316" s="8">
        <v>418.8</v>
      </c>
      <c r="P316" s="8"/>
      <c r="Q316" s="8">
        <v>383.9</v>
      </c>
      <c r="R316" s="8"/>
      <c r="S316" s="8"/>
      <c r="T316" s="8"/>
      <c r="U316" s="8">
        <v>383.91</v>
      </c>
      <c r="V316" s="8"/>
      <c r="W316" s="46">
        <v>419</v>
      </c>
      <c r="Y316" s="73">
        <v>419</v>
      </c>
      <c r="AA316" s="8">
        <f t="shared" si="467"/>
        <v>380.73999999999995</v>
      </c>
      <c r="AB316" s="8">
        <f t="shared" si="468"/>
        <v>502</v>
      </c>
      <c r="AC316" s="8">
        <f t="shared" si="469"/>
        <v>105</v>
      </c>
      <c r="AE316" s="8">
        <f t="shared" si="470"/>
        <v>3.1700000000000728</v>
      </c>
      <c r="AF316" s="8">
        <f t="shared" si="471"/>
        <v>-118.08999999999997</v>
      </c>
      <c r="AG316" s="8">
        <f t="shared" si="472"/>
        <v>278.91000000000003</v>
      </c>
      <c r="AI316" s="8">
        <f t="shared" si="473"/>
        <v>38.260000000000048</v>
      </c>
      <c r="AJ316" s="8">
        <f t="shared" si="474"/>
        <v>-83</v>
      </c>
      <c r="AK316" s="8">
        <f t="shared" si="475"/>
        <v>314</v>
      </c>
    </row>
    <row r="317" spans="1:37" s="32" customFormat="1" x14ac:dyDescent="0.2">
      <c r="A317" s="26"/>
      <c r="B317" s="26"/>
      <c r="C317" s="26"/>
      <c r="D317" s="26"/>
      <c r="E317" s="26"/>
      <c r="F317" s="26"/>
      <c r="G317" s="26" t="s">
        <v>251</v>
      </c>
      <c r="H317" s="9"/>
      <c r="I317" s="9">
        <v>6327</v>
      </c>
      <c r="J317" s="9"/>
      <c r="K317" s="9">
        <v>12453</v>
      </c>
      <c r="L317" s="9"/>
      <c r="M317" s="9">
        <v>3778</v>
      </c>
      <c r="N317" s="9"/>
      <c r="O317" s="9">
        <v>13084.44</v>
      </c>
      <c r="P317" s="9"/>
      <c r="Q317" s="8">
        <v>1994.26</v>
      </c>
      <c r="R317" s="9"/>
      <c r="S317" s="9"/>
      <c r="T317" s="9"/>
      <c r="U317" s="8">
        <v>5635.2</v>
      </c>
      <c r="V317" s="9"/>
      <c r="W317" s="50">
        <v>7000</v>
      </c>
      <c r="Y317" s="81">
        <v>6950</v>
      </c>
      <c r="AA317" s="9">
        <f t="shared" si="467"/>
        <v>7527.3400000000011</v>
      </c>
      <c r="AB317" s="9">
        <f t="shared" si="468"/>
        <v>13084.44</v>
      </c>
      <c r="AC317" s="9">
        <f t="shared" si="469"/>
        <v>1994.26</v>
      </c>
      <c r="AD317" s="29"/>
      <c r="AE317" s="9">
        <f t="shared" si="470"/>
        <v>-1892.1400000000012</v>
      </c>
      <c r="AF317" s="9">
        <f t="shared" si="471"/>
        <v>-7449.2400000000007</v>
      </c>
      <c r="AG317" s="9">
        <f t="shared" si="472"/>
        <v>3640.9399999999996</v>
      </c>
      <c r="AH317" s="29"/>
      <c r="AI317" s="9">
        <f t="shared" si="473"/>
        <v>-527.34000000000106</v>
      </c>
      <c r="AJ317" s="9">
        <f t="shared" si="474"/>
        <v>-6084.4400000000005</v>
      </c>
      <c r="AK317" s="9">
        <f t="shared" si="475"/>
        <v>5005.74</v>
      </c>
    </row>
    <row r="318" spans="1:37" s="29" customFormat="1" ht="10.8" thickBot="1" x14ac:dyDescent="0.25">
      <c r="A318" s="2"/>
      <c r="B318" s="2"/>
      <c r="C318" s="2"/>
      <c r="D318" s="2"/>
      <c r="E318" s="2"/>
      <c r="F318" s="2"/>
      <c r="G318" s="51" t="s">
        <v>304</v>
      </c>
      <c r="H318" s="8"/>
      <c r="I318" s="11"/>
      <c r="J318" s="8"/>
      <c r="K318" s="11"/>
      <c r="L318" s="8"/>
      <c r="M318" s="11"/>
      <c r="N318" s="8"/>
      <c r="O318" s="11"/>
      <c r="P318" s="11"/>
      <c r="Q318" s="11">
        <v>0</v>
      </c>
      <c r="R318" s="9"/>
      <c r="S318" s="9"/>
      <c r="T318" s="8"/>
      <c r="U318" s="11">
        <v>19788.97</v>
      </c>
      <c r="V318" s="8"/>
      <c r="W318" s="42">
        <v>20452</v>
      </c>
      <c r="Y318" s="74">
        <v>21420</v>
      </c>
      <c r="AA318" s="11">
        <f t="shared" si="467"/>
        <v>0</v>
      </c>
      <c r="AB318" s="11">
        <f t="shared" si="468"/>
        <v>0</v>
      </c>
      <c r="AC318" s="11">
        <f t="shared" si="469"/>
        <v>0</v>
      </c>
      <c r="AE318" s="11">
        <f t="shared" si="470"/>
        <v>19788.97</v>
      </c>
      <c r="AF318" s="11">
        <f t="shared" si="471"/>
        <v>19788.97</v>
      </c>
      <c r="AG318" s="11">
        <f t="shared" si="472"/>
        <v>19788.97</v>
      </c>
      <c r="AI318" s="11">
        <f t="shared" si="473"/>
        <v>20452</v>
      </c>
      <c r="AJ318" s="11">
        <f t="shared" si="474"/>
        <v>20452</v>
      </c>
      <c r="AK318" s="11">
        <f t="shared" si="475"/>
        <v>20452</v>
      </c>
    </row>
    <row r="319" spans="1:37" s="29" customFormat="1" x14ac:dyDescent="0.2">
      <c r="A319" s="2"/>
      <c r="B319" s="2"/>
      <c r="C319" s="2"/>
      <c r="D319" s="2"/>
      <c r="E319" s="2"/>
      <c r="F319" s="2" t="s">
        <v>252</v>
      </c>
      <c r="G319" s="2"/>
      <c r="H319" s="8"/>
      <c r="I319" s="8">
        <f>ROUND(SUM(I313:I318),5)</f>
        <v>310695</v>
      </c>
      <c r="J319" s="8"/>
      <c r="K319" s="8">
        <f>ROUND(SUM(K313:K318),5)</f>
        <v>337068</v>
      </c>
      <c r="L319" s="8"/>
      <c r="M319" s="8">
        <f>ROUND(SUM(M313:M318),5)</f>
        <v>302649</v>
      </c>
      <c r="N319" s="8"/>
      <c r="O319" s="8">
        <f>ROUND(SUM(O313:O318),5)</f>
        <v>337263.99</v>
      </c>
      <c r="P319" s="8"/>
      <c r="Q319" s="8">
        <f>ROUND(SUM(Q313:Q318),5)</f>
        <v>348936.34</v>
      </c>
      <c r="R319" s="8"/>
      <c r="S319" s="8"/>
      <c r="T319" s="8"/>
      <c r="U319" s="30">
        <f>ROUND(SUM(U313:U318),5)</f>
        <v>377297.99</v>
      </c>
      <c r="V319" s="8"/>
      <c r="W319" s="30">
        <f>SUM(W314:W318)</f>
        <v>380701</v>
      </c>
      <c r="Y319" s="75">
        <f>ROUND(SUM(Y313:Y318),5)</f>
        <v>398304</v>
      </c>
      <c r="AA319" s="8">
        <f t="shared" ref="AA319:AC319" si="476">ROUND(SUM(AA313:AA318),5)</f>
        <v>327322.46600000001</v>
      </c>
      <c r="AB319" s="8">
        <f t="shared" si="476"/>
        <v>360144.62</v>
      </c>
      <c r="AC319" s="8">
        <f t="shared" si="476"/>
        <v>300865.26</v>
      </c>
      <c r="AE319" s="8">
        <f t="shared" ref="AE319:AG319" si="477">ROUND(SUM(AE313:AE318),5)</f>
        <v>49975.523999999998</v>
      </c>
      <c r="AF319" s="8">
        <f t="shared" si="477"/>
        <v>17153.37</v>
      </c>
      <c r="AG319" s="8">
        <f t="shared" si="477"/>
        <v>76432.73</v>
      </c>
      <c r="AI319" s="8">
        <f t="shared" ref="AI319:AK319" si="478">ROUND(SUM(AI313:AI318),5)</f>
        <v>53378.534</v>
      </c>
      <c r="AJ319" s="8">
        <f t="shared" si="478"/>
        <v>20556.38</v>
      </c>
      <c r="AK319" s="8">
        <f t="shared" si="478"/>
        <v>79835.740000000005</v>
      </c>
    </row>
    <row r="320" spans="1:37" s="29" customFormat="1" x14ac:dyDescent="0.2">
      <c r="A320" s="2"/>
      <c r="B320" s="2"/>
      <c r="C320" s="2"/>
      <c r="D320" s="2"/>
      <c r="E320" s="2"/>
      <c r="F320" s="2" t="s">
        <v>253</v>
      </c>
      <c r="G320" s="2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Y320" s="77"/>
      <c r="AA320" s="8"/>
      <c r="AB320" s="8"/>
      <c r="AC320" s="8"/>
      <c r="AE320" s="8"/>
      <c r="AF320" s="8"/>
      <c r="AG320" s="8"/>
      <c r="AI320" s="8"/>
      <c r="AJ320" s="8"/>
      <c r="AK320" s="8"/>
    </row>
    <row r="321" spans="1:37" s="29" customFormat="1" x14ac:dyDescent="0.2">
      <c r="A321" s="2"/>
      <c r="B321" s="2"/>
      <c r="C321" s="2"/>
      <c r="D321" s="2"/>
      <c r="E321" s="2"/>
      <c r="F321" s="2"/>
      <c r="G321" s="2" t="s">
        <v>254</v>
      </c>
      <c r="H321" s="8"/>
      <c r="I321" s="8">
        <v>4852</v>
      </c>
      <c r="J321" s="8"/>
      <c r="K321" s="8">
        <v>5435</v>
      </c>
      <c r="L321" s="8"/>
      <c r="M321" s="8">
        <v>4616</v>
      </c>
      <c r="N321" s="8"/>
      <c r="O321" s="8">
        <v>1351</v>
      </c>
      <c r="P321" s="8"/>
      <c r="Q321" s="8">
        <v>7479.39</v>
      </c>
      <c r="R321" s="8"/>
      <c r="S321" s="8"/>
      <c r="T321" s="8"/>
      <c r="U321" s="8">
        <v>6697.19</v>
      </c>
      <c r="V321" s="8"/>
      <c r="W321" s="47">
        <v>7400</v>
      </c>
      <c r="Y321" s="73">
        <v>7600</v>
      </c>
      <c r="AA321" s="8">
        <f t="shared" ref="AA321:AA324" si="479">AVERAGE(I321:Q321)</f>
        <v>4746.6779999999999</v>
      </c>
      <c r="AB321" s="8">
        <f t="shared" ref="AB321:AB324" si="480">MAX(I321:Q321)</f>
        <v>7479.39</v>
      </c>
      <c r="AC321" s="8">
        <f t="shared" ref="AC321:AC324" si="481">MIN(I321:Q321)</f>
        <v>1351</v>
      </c>
      <c r="AE321" s="8">
        <f t="shared" ref="AE321:AE324" si="482">+U321-AA321</f>
        <v>1950.5119999999997</v>
      </c>
      <c r="AF321" s="8">
        <f t="shared" ref="AF321:AF324" si="483">+U321-AB321</f>
        <v>-782.20000000000073</v>
      </c>
      <c r="AG321" s="8">
        <f t="shared" ref="AG321:AG324" si="484">+U321-AC321</f>
        <v>5346.19</v>
      </c>
      <c r="AI321" s="8">
        <f t="shared" ref="AI321:AI324" si="485">+W321-AA321</f>
        <v>2653.3220000000001</v>
      </c>
      <c r="AJ321" s="8">
        <f t="shared" ref="AJ321:AJ324" si="486">+W321-AB321</f>
        <v>-79.390000000000327</v>
      </c>
      <c r="AK321" s="8">
        <f t="shared" ref="AK321:AK324" si="487">+W321-AC321</f>
        <v>6049</v>
      </c>
    </row>
    <row r="322" spans="1:37" s="29" customFormat="1" x14ac:dyDescent="0.2">
      <c r="A322" s="2"/>
      <c r="B322" s="2"/>
      <c r="C322" s="2"/>
      <c r="D322" s="2"/>
      <c r="E322" s="2"/>
      <c r="F322" s="2"/>
      <c r="G322" s="2" t="s">
        <v>255</v>
      </c>
      <c r="H322" s="8"/>
      <c r="I322" s="8"/>
      <c r="J322" s="8"/>
      <c r="K322" s="8"/>
      <c r="L322" s="8"/>
      <c r="M322" s="8"/>
      <c r="N322" s="8"/>
      <c r="O322" s="8"/>
      <c r="P322" s="8"/>
      <c r="Q322" s="8">
        <v>300</v>
      </c>
      <c r="R322" s="8"/>
      <c r="S322" s="8"/>
      <c r="T322" s="8"/>
      <c r="U322" s="8">
        <v>200</v>
      </c>
      <c r="V322" s="8"/>
      <c r="W322" s="47">
        <v>600</v>
      </c>
      <c r="Y322" s="73">
        <v>400</v>
      </c>
      <c r="AA322" s="8">
        <f t="shared" si="479"/>
        <v>300</v>
      </c>
      <c r="AB322" s="8">
        <f t="shared" si="480"/>
        <v>300</v>
      </c>
      <c r="AC322" s="8">
        <f t="shared" si="481"/>
        <v>300</v>
      </c>
      <c r="AE322" s="8">
        <f t="shared" si="482"/>
        <v>-100</v>
      </c>
      <c r="AF322" s="8">
        <f t="shared" si="483"/>
        <v>-100</v>
      </c>
      <c r="AG322" s="8">
        <f t="shared" si="484"/>
        <v>-100</v>
      </c>
      <c r="AI322" s="8">
        <f t="shared" si="485"/>
        <v>300</v>
      </c>
      <c r="AJ322" s="8">
        <f t="shared" si="486"/>
        <v>300</v>
      </c>
      <c r="AK322" s="8">
        <f t="shared" si="487"/>
        <v>300</v>
      </c>
    </row>
    <row r="323" spans="1:37" s="29" customFormat="1" ht="10.8" thickBot="1" x14ac:dyDescent="0.25">
      <c r="A323" s="2"/>
      <c r="B323" s="2"/>
      <c r="C323" s="2"/>
      <c r="D323" s="2"/>
      <c r="E323" s="2"/>
      <c r="F323" s="2"/>
      <c r="G323" s="2" t="s">
        <v>256</v>
      </c>
      <c r="H323" s="8"/>
      <c r="I323" s="8">
        <v>3384</v>
      </c>
      <c r="J323" s="8"/>
      <c r="K323" s="8">
        <v>4346</v>
      </c>
      <c r="L323" s="8"/>
      <c r="M323" s="8">
        <v>3176</v>
      </c>
      <c r="N323" s="8"/>
      <c r="O323" s="8"/>
      <c r="P323" s="8"/>
      <c r="Q323" s="8">
        <v>1157.33</v>
      </c>
      <c r="R323" s="8"/>
      <c r="S323" s="8"/>
      <c r="T323" s="8"/>
      <c r="U323" s="11">
        <v>3135.99</v>
      </c>
      <c r="V323" s="8"/>
      <c r="W323" s="47">
        <v>4000</v>
      </c>
      <c r="Y323" s="73">
        <v>4000</v>
      </c>
      <c r="AA323" s="8">
        <f t="shared" si="479"/>
        <v>3015.8325</v>
      </c>
      <c r="AB323" s="8">
        <f t="shared" si="480"/>
        <v>4346</v>
      </c>
      <c r="AC323" s="8">
        <f t="shared" si="481"/>
        <v>1157.33</v>
      </c>
      <c r="AE323" s="8">
        <f t="shared" si="482"/>
        <v>120.1574999999998</v>
      </c>
      <c r="AF323" s="8">
        <f t="shared" si="483"/>
        <v>-1210.0100000000002</v>
      </c>
      <c r="AG323" s="8">
        <f t="shared" si="484"/>
        <v>1978.6599999999999</v>
      </c>
      <c r="AI323" s="8">
        <f t="shared" si="485"/>
        <v>984.16750000000002</v>
      </c>
      <c r="AJ323" s="8">
        <f t="shared" si="486"/>
        <v>-346</v>
      </c>
      <c r="AK323" s="8">
        <f t="shared" si="487"/>
        <v>2842.67</v>
      </c>
    </row>
    <row r="324" spans="1:37" s="29" customFormat="1" ht="10.8" thickBot="1" x14ac:dyDescent="0.25">
      <c r="A324" s="2"/>
      <c r="B324" s="2"/>
      <c r="C324" s="2"/>
      <c r="D324" s="2"/>
      <c r="E324" s="2"/>
      <c r="F324" s="2"/>
      <c r="G324" s="2" t="s">
        <v>299</v>
      </c>
      <c r="H324" s="8"/>
      <c r="I324" s="11"/>
      <c r="J324" s="8"/>
      <c r="K324" s="11"/>
      <c r="L324" s="8"/>
      <c r="M324" s="11"/>
      <c r="N324" s="8"/>
      <c r="O324" s="11"/>
      <c r="P324" s="11"/>
      <c r="Q324" s="11">
        <v>5</v>
      </c>
      <c r="R324" s="9"/>
      <c r="S324" s="9"/>
      <c r="T324" s="8"/>
      <c r="U324" s="39"/>
      <c r="V324" s="8"/>
      <c r="W324" s="39">
        <v>0</v>
      </c>
      <c r="Y324" s="74">
        <v>0</v>
      </c>
      <c r="AA324" s="11">
        <f t="shared" si="479"/>
        <v>5</v>
      </c>
      <c r="AB324" s="11">
        <f t="shared" si="480"/>
        <v>5</v>
      </c>
      <c r="AC324" s="11">
        <f t="shared" si="481"/>
        <v>5</v>
      </c>
      <c r="AE324" s="11">
        <f t="shared" si="482"/>
        <v>-5</v>
      </c>
      <c r="AF324" s="11">
        <f t="shared" si="483"/>
        <v>-5</v>
      </c>
      <c r="AG324" s="11">
        <f t="shared" si="484"/>
        <v>-5</v>
      </c>
      <c r="AI324" s="11">
        <f t="shared" si="485"/>
        <v>-5</v>
      </c>
      <c r="AJ324" s="11">
        <f t="shared" si="486"/>
        <v>-5</v>
      </c>
      <c r="AK324" s="11">
        <f t="shared" si="487"/>
        <v>-5</v>
      </c>
    </row>
    <row r="325" spans="1:37" s="29" customFormat="1" x14ac:dyDescent="0.2">
      <c r="A325" s="2"/>
      <c r="B325" s="2"/>
      <c r="C325" s="2"/>
      <c r="D325" s="2"/>
      <c r="E325" s="2"/>
      <c r="F325" s="2" t="s">
        <v>257</v>
      </c>
      <c r="G325" s="2"/>
      <c r="H325" s="8"/>
      <c r="I325" s="8">
        <f>ROUND(SUM(I320:I324),5)</f>
        <v>8236</v>
      </c>
      <c r="J325" s="8"/>
      <c r="K325" s="8">
        <f>ROUND(SUM(K320:K324),5)</f>
        <v>9781</v>
      </c>
      <c r="L325" s="8"/>
      <c r="M325" s="8">
        <f>ROUND(SUM(M320:M324),5)</f>
        <v>7792</v>
      </c>
      <c r="N325" s="8"/>
      <c r="O325" s="8">
        <f>ROUND(SUM(O320:O324),5)</f>
        <v>1351</v>
      </c>
      <c r="P325" s="8"/>
      <c r="Q325" s="8">
        <f>ROUND(SUM(Q320:Q324),5)</f>
        <v>8941.7199999999993</v>
      </c>
      <c r="R325" s="8"/>
      <c r="S325" s="8"/>
      <c r="T325" s="8"/>
      <c r="U325" s="31">
        <f>ROUND(SUM(U320:U324),5)</f>
        <v>10033.18</v>
      </c>
      <c r="V325" s="8"/>
      <c r="W325" s="31">
        <f>SUM(W321:W324)</f>
        <v>12000</v>
      </c>
      <c r="Y325" s="75">
        <f>ROUND(SUM(Y320:Y324),5)</f>
        <v>12000</v>
      </c>
      <c r="AA325" s="8">
        <f t="shared" ref="AA325:AC325" si="488">ROUND(SUM(AA320:AA324),5)</f>
        <v>8067.5105000000003</v>
      </c>
      <c r="AB325" s="8">
        <f t="shared" si="488"/>
        <v>12130.39</v>
      </c>
      <c r="AC325" s="8">
        <f t="shared" si="488"/>
        <v>2813.33</v>
      </c>
      <c r="AE325" s="8">
        <f t="shared" ref="AE325" si="489">ROUND(SUM(AE320:AE324),5)</f>
        <v>1965.6695</v>
      </c>
      <c r="AF325" s="8">
        <f t="shared" ref="AF325" si="490">ROUND(SUM(AF320:AF324),5)</f>
        <v>-2097.21</v>
      </c>
      <c r="AG325" s="8">
        <f t="shared" ref="AG325" si="491">ROUND(SUM(AG320:AG324),5)</f>
        <v>7219.85</v>
      </c>
      <c r="AI325" s="8">
        <f t="shared" ref="AI325:AK325" si="492">ROUND(SUM(AI320:AI324),5)</f>
        <v>3932.4895000000001</v>
      </c>
      <c r="AJ325" s="8">
        <f t="shared" si="492"/>
        <v>-130.38999999999999</v>
      </c>
      <c r="AK325" s="8">
        <f t="shared" si="492"/>
        <v>9186.67</v>
      </c>
    </row>
    <row r="326" spans="1:37" s="29" customFormat="1" x14ac:dyDescent="0.2">
      <c r="A326" s="2"/>
      <c r="B326" s="2"/>
      <c r="C326" s="2"/>
      <c r="D326" s="2"/>
      <c r="E326" s="2"/>
      <c r="F326" s="2" t="s">
        <v>258</v>
      </c>
      <c r="G326" s="2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Y326" s="77"/>
      <c r="AA326" s="8"/>
      <c r="AB326" s="8"/>
      <c r="AC326" s="8"/>
      <c r="AE326" s="8"/>
      <c r="AF326" s="8"/>
      <c r="AG326" s="8"/>
      <c r="AI326" s="8"/>
      <c r="AJ326" s="8"/>
      <c r="AK326" s="8"/>
    </row>
    <row r="327" spans="1:37" s="29" customFormat="1" x14ac:dyDescent="0.2">
      <c r="A327" s="2"/>
      <c r="B327" s="2"/>
      <c r="C327" s="2"/>
      <c r="D327" s="2"/>
      <c r="E327" s="2"/>
      <c r="F327" s="2"/>
      <c r="G327" s="2" t="s">
        <v>259</v>
      </c>
      <c r="H327" s="8"/>
      <c r="I327" s="8">
        <v>601</v>
      </c>
      <c r="J327" s="8"/>
      <c r="K327" s="8">
        <v>605</v>
      </c>
      <c r="L327" s="8"/>
      <c r="M327" s="8">
        <v>250</v>
      </c>
      <c r="N327" s="8"/>
      <c r="O327" s="8">
        <v>600.14</v>
      </c>
      <c r="P327" s="8"/>
      <c r="Q327" s="9">
        <v>459.69</v>
      </c>
      <c r="R327" s="8"/>
      <c r="S327" s="8"/>
      <c r="T327" s="8"/>
      <c r="U327" s="8">
        <v>552.71</v>
      </c>
      <c r="V327" s="8"/>
      <c r="W327" s="47">
        <v>400</v>
      </c>
      <c r="Y327" s="73">
        <v>500</v>
      </c>
      <c r="AA327" s="8">
        <f t="shared" ref="AA327" si="493">AVERAGE(I327:Q327)</f>
        <v>503.166</v>
      </c>
      <c r="AB327" s="8">
        <f t="shared" ref="AB327:AB328" si="494">MAX(I327:Q327)</f>
        <v>605</v>
      </c>
      <c r="AC327" s="8">
        <f t="shared" ref="AC327:AC328" si="495">MIN(I327:Q327)</f>
        <v>250</v>
      </c>
      <c r="AE327" s="8">
        <f t="shared" ref="AE327:AE328" si="496">+U327-AA327</f>
        <v>49.54400000000004</v>
      </c>
      <c r="AF327" s="8">
        <f t="shared" ref="AF327:AF328" si="497">+U327-AB327</f>
        <v>-52.289999999999964</v>
      </c>
      <c r="AG327" s="8">
        <f t="shared" ref="AG327:AG328" si="498">+U327-AC327</f>
        <v>302.71000000000004</v>
      </c>
      <c r="AI327" s="8">
        <f t="shared" ref="AI327:AI328" si="499">+W327-AA327</f>
        <v>-103.166</v>
      </c>
      <c r="AJ327" s="8">
        <f t="shared" ref="AJ327:AJ328" si="500">+W327-AB327</f>
        <v>-205</v>
      </c>
      <c r="AK327" s="8">
        <f t="shared" ref="AK327:AK328" si="501">+W327-AC327</f>
        <v>150</v>
      </c>
    </row>
    <row r="328" spans="1:37" s="29" customFormat="1" ht="10.8" thickBot="1" x14ac:dyDescent="0.25">
      <c r="A328" s="2"/>
      <c r="B328" s="2"/>
      <c r="C328" s="2"/>
      <c r="D328" s="2"/>
      <c r="E328" s="2"/>
      <c r="F328" s="2"/>
      <c r="G328" s="2" t="s">
        <v>284</v>
      </c>
      <c r="H328" s="8"/>
      <c r="I328" s="11"/>
      <c r="J328" s="8"/>
      <c r="K328" s="11"/>
      <c r="L328" s="8"/>
      <c r="M328" s="11"/>
      <c r="N328" s="8"/>
      <c r="O328" s="11"/>
      <c r="P328" s="11"/>
      <c r="Q328" s="11"/>
      <c r="R328" s="9"/>
      <c r="S328" s="9"/>
      <c r="T328" s="8"/>
      <c r="U328" s="11">
        <v>2983.58</v>
      </c>
      <c r="V328" s="8"/>
      <c r="W328" s="39">
        <v>0</v>
      </c>
      <c r="Y328" s="78"/>
      <c r="AA328" s="11"/>
      <c r="AB328" s="11">
        <f t="shared" si="494"/>
        <v>0</v>
      </c>
      <c r="AC328" s="11">
        <f t="shared" si="495"/>
        <v>0</v>
      </c>
      <c r="AE328" s="11">
        <f t="shared" si="496"/>
        <v>2983.58</v>
      </c>
      <c r="AF328" s="11">
        <f t="shared" si="497"/>
        <v>2983.58</v>
      </c>
      <c r="AG328" s="11">
        <f t="shared" si="498"/>
        <v>2983.58</v>
      </c>
      <c r="AI328" s="11">
        <f t="shared" si="499"/>
        <v>0</v>
      </c>
      <c r="AJ328" s="11">
        <f t="shared" si="500"/>
        <v>0</v>
      </c>
      <c r="AK328" s="11">
        <f t="shared" si="501"/>
        <v>0</v>
      </c>
    </row>
    <row r="329" spans="1:37" s="29" customFormat="1" x14ac:dyDescent="0.2">
      <c r="A329" s="2"/>
      <c r="B329" s="2"/>
      <c r="C329" s="2"/>
      <c r="D329" s="2"/>
      <c r="E329" s="2"/>
      <c r="F329" s="2" t="s">
        <v>260</v>
      </c>
      <c r="G329" s="2"/>
      <c r="H329" s="8"/>
      <c r="I329" s="8">
        <f>ROUND(SUM(I326:I328),5)</f>
        <v>601</v>
      </c>
      <c r="J329" s="8"/>
      <c r="K329" s="8">
        <f>ROUND(SUM(K326:K328),5)</f>
        <v>605</v>
      </c>
      <c r="L329" s="8"/>
      <c r="M329" s="8">
        <f>ROUND(SUM(M326:M328),5)</f>
        <v>250</v>
      </c>
      <c r="N329" s="8"/>
      <c r="O329" s="8">
        <f>ROUND(SUM(O326:O328),5)</f>
        <v>600.14</v>
      </c>
      <c r="P329" s="8"/>
      <c r="Q329" s="8">
        <f>ROUND(SUM(Q326:Q328),5)</f>
        <v>459.69</v>
      </c>
      <c r="R329" s="8"/>
      <c r="S329" s="8"/>
      <c r="T329" s="8"/>
      <c r="U329" s="30">
        <f>ROUND(SUM(U326:U328),5)</f>
        <v>3536.29</v>
      </c>
      <c r="V329" s="8"/>
      <c r="W329" s="30">
        <f>SUM(W327:W328)</f>
        <v>400</v>
      </c>
      <c r="Y329" s="75">
        <f>ROUND(SUM(Y326:Y328),5)</f>
        <v>500</v>
      </c>
      <c r="AA329" s="8">
        <f t="shared" ref="AA329:AC329" si="502">ROUND(SUM(AA326:AA328),5)</f>
        <v>503.166</v>
      </c>
      <c r="AB329" s="8">
        <f t="shared" si="502"/>
        <v>605</v>
      </c>
      <c r="AC329" s="8">
        <f t="shared" si="502"/>
        <v>250</v>
      </c>
      <c r="AE329" s="8">
        <f t="shared" ref="AE329" si="503">ROUND(SUM(AE326:AE328),5)</f>
        <v>3033.1239999999998</v>
      </c>
      <c r="AF329" s="8">
        <f t="shared" ref="AF329" si="504">ROUND(SUM(AF326:AF328),5)</f>
        <v>2931.29</v>
      </c>
      <c r="AG329" s="8">
        <f t="shared" ref="AG329" si="505">ROUND(SUM(AG326:AG328),5)</f>
        <v>3286.29</v>
      </c>
      <c r="AI329" s="8">
        <f t="shared" ref="AI329:AK329" si="506">ROUND(SUM(AI326:AI328),5)</f>
        <v>-103.166</v>
      </c>
      <c r="AJ329" s="8">
        <f t="shared" si="506"/>
        <v>-205</v>
      </c>
      <c r="AK329" s="8">
        <f t="shared" si="506"/>
        <v>150</v>
      </c>
    </row>
    <row r="330" spans="1:37" s="29" customFormat="1" x14ac:dyDescent="0.2">
      <c r="A330" s="2"/>
      <c r="B330" s="2"/>
      <c r="C330" s="2"/>
      <c r="D330" s="2"/>
      <c r="E330" s="2"/>
      <c r="F330" s="2" t="s">
        <v>261</v>
      </c>
      <c r="G330" s="2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Y330" s="77"/>
      <c r="AA330" s="8"/>
      <c r="AB330" s="8"/>
      <c r="AC330" s="8"/>
      <c r="AE330" s="8"/>
      <c r="AF330" s="8"/>
      <c r="AG330" s="8"/>
      <c r="AI330" s="8"/>
      <c r="AJ330" s="8"/>
      <c r="AK330" s="8"/>
    </row>
    <row r="331" spans="1:37" s="29" customFormat="1" x14ac:dyDescent="0.2">
      <c r="A331" s="2"/>
      <c r="B331" s="2"/>
      <c r="C331" s="2"/>
      <c r="D331" s="2"/>
      <c r="E331" s="2"/>
      <c r="F331" s="2"/>
      <c r="G331" s="2" t="s">
        <v>262</v>
      </c>
      <c r="H331" s="8"/>
      <c r="I331" s="8"/>
      <c r="J331" s="8"/>
      <c r="K331" s="8"/>
      <c r="L331" s="8"/>
      <c r="M331" s="8"/>
      <c r="N331" s="8"/>
      <c r="O331" s="8"/>
      <c r="P331" s="8"/>
      <c r="Q331" s="8">
        <v>0</v>
      </c>
      <c r="R331" s="8"/>
      <c r="S331" s="8"/>
      <c r="T331" s="8"/>
      <c r="U331" s="8">
        <v>0</v>
      </c>
      <c r="V331" s="8"/>
      <c r="W331" s="47">
        <f>-W3169</f>
        <v>0</v>
      </c>
      <c r="Y331" s="73">
        <v>0</v>
      </c>
      <c r="AA331" s="8">
        <f t="shared" ref="AA331:AA338" si="507">AVERAGE(I331:Q331)</f>
        <v>0</v>
      </c>
      <c r="AB331" s="8">
        <f t="shared" ref="AB331:AB338" si="508">MAX(I331:Q331)</f>
        <v>0</v>
      </c>
      <c r="AC331" s="8">
        <f t="shared" ref="AC331:AC338" si="509">MIN(I331:Q331)</f>
        <v>0</v>
      </c>
      <c r="AE331" s="8">
        <f t="shared" ref="AE331:AE338" si="510">+U331-AA331</f>
        <v>0</v>
      </c>
      <c r="AF331" s="8">
        <f t="shared" ref="AF331:AF338" si="511">+U331-AB331</f>
        <v>0</v>
      </c>
      <c r="AG331" s="8">
        <f t="shared" ref="AG331:AG338" si="512">+U331-AC331</f>
        <v>0</v>
      </c>
      <c r="AI331" s="8">
        <f t="shared" ref="AI331:AI338" si="513">+W331-AA331</f>
        <v>0</v>
      </c>
      <c r="AJ331" s="8">
        <f t="shared" ref="AJ331:AJ338" si="514">+W331-AB331</f>
        <v>0</v>
      </c>
      <c r="AK331" s="8">
        <f t="shared" ref="AK331:AK338" si="515">+W331-AC331</f>
        <v>0</v>
      </c>
    </row>
    <row r="332" spans="1:37" s="29" customFormat="1" x14ac:dyDescent="0.2">
      <c r="A332" s="2"/>
      <c r="B332" s="2"/>
      <c r="C332" s="2"/>
      <c r="D332" s="2"/>
      <c r="E332" s="2"/>
      <c r="F332" s="2"/>
      <c r="G332" s="2" t="s">
        <v>263</v>
      </c>
      <c r="H332" s="8"/>
      <c r="I332" s="8">
        <f>11824+1103</f>
        <v>12927</v>
      </c>
      <c r="J332" s="8"/>
      <c r="K332" s="8">
        <f>10231+1476</f>
        <v>11707</v>
      </c>
      <c r="L332" s="8"/>
      <c r="M332" s="8">
        <f>9631+1668</f>
        <v>11299</v>
      </c>
      <c r="N332" s="8"/>
      <c r="O332" s="8">
        <v>7142.87</v>
      </c>
      <c r="P332" s="8"/>
      <c r="Q332" s="8">
        <v>6664.1</v>
      </c>
      <c r="R332" s="8"/>
      <c r="S332" s="8"/>
      <c r="T332" s="8"/>
      <c r="U332" s="8">
        <v>902</v>
      </c>
      <c r="V332" s="8"/>
      <c r="W332" s="46">
        <v>984</v>
      </c>
      <c r="Y332" s="73">
        <v>990</v>
      </c>
      <c r="AA332" s="8">
        <f t="shared" si="507"/>
        <v>9947.9940000000006</v>
      </c>
      <c r="AB332" s="8">
        <f t="shared" si="508"/>
        <v>12927</v>
      </c>
      <c r="AC332" s="8">
        <f t="shared" si="509"/>
        <v>6664.1</v>
      </c>
      <c r="AE332" s="8">
        <f t="shared" si="510"/>
        <v>-9045.9940000000006</v>
      </c>
      <c r="AF332" s="8">
        <f t="shared" si="511"/>
        <v>-12025</v>
      </c>
      <c r="AG332" s="8">
        <f t="shared" si="512"/>
        <v>-5762.1</v>
      </c>
      <c r="AI332" s="8">
        <f t="shared" si="513"/>
        <v>-8963.9940000000006</v>
      </c>
      <c r="AJ332" s="8">
        <f t="shared" si="514"/>
        <v>-11943</v>
      </c>
      <c r="AK332" s="8">
        <f t="shared" si="515"/>
        <v>-5680.1</v>
      </c>
    </row>
    <row r="333" spans="1:37" s="29" customFormat="1" x14ac:dyDescent="0.2">
      <c r="A333" s="2"/>
      <c r="B333" s="2"/>
      <c r="C333" s="2"/>
      <c r="D333" s="2"/>
      <c r="E333" s="2"/>
      <c r="F333" s="2"/>
      <c r="G333" s="2" t="s">
        <v>264</v>
      </c>
      <c r="H333" s="8"/>
      <c r="I333" s="8"/>
      <c r="J333" s="8"/>
      <c r="K333" s="8"/>
      <c r="L333" s="8"/>
      <c r="M333" s="8"/>
      <c r="N333" s="8"/>
      <c r="O333" s="8"/>
      <c r="P333" s="8"/>
      <c r="Q333" s="8">
        <v>690</v>
      </c>
      <c r="R333" s="8"/>
      <c r="S333" s="8"/>
      <c r="T333" s="8"/>
      <c r="U333" s="8">
        <v>0</v>
      </c>
      <c r="V333" s="8"/>
      <c r="W333" s="47">
        <v>750</v>
      </c>
      <c r="Y333" s="73">
        <v>1040</v>
      </c>
      <c r="AA333" s="8">
        <f t="shared" si="507"/>
        <v>690</v>
      </c>
      <c r="AB333" s="8">
        <f t="shared" si="508"/>
        <v>690</v>
      </c>
      <c r="AC333" s="8">
        <f t="shared" si="509"/>
        <v>690</v>
      </c>
      <c r="AE333" s="8">
        <f t="shared" si="510"/>
        <v>-690</v>
      </c>
      <c r="AF333" s="8">
        <f t="shared" si="511"/>
        <v>-690</v>
      </c>
      <c r="AG333" s="8">
        <f t="shared" si="512"/>
        <v>-690</v>
      </c>
      <c r="AI333" s="8">
        <f t="shared" si="513"/>
        <v>60</v>
      </c>
      <c r="AJ333" s="8">
        <f t="shared" si="514"/>
        <v>60</v>
      </c>
      <c r="AK333" s="8">
        <f t="shared" si="515"/>
        <v>60</v>
      </c>
    </row>
    <row r="334" spans="1:37" s="29" customFormat="1" x14ac:dyDescent="0.2">
      <c r="A334" s="2"/>
      <c r="B334" s="2"/>
      <c r="C334" s="2"/>
      <c r="D334" s="2"/>
      <c r="E334" s="2"/>
      <c r="F334" s="2"/>
      <c r="G334" s="2" t="s">
        <v>301</v>
      </c>
      <c r="H334" s="8"/>
      <c r="I334" s="8">
        <f>1365+277</f>
        <v>1642</v>
      </c>
      <c r="J334" s="8"/>
      <c r="K334" s="8">
        <f>2699+261</f>
        <v>2960</v>
      </c>
      <c r="L334" s="8"/>
      <c r="M334" s="8">
        <f>1478+66</f>
        <v>1544</v>
      </c>
      <c r="N334" s="8"/>
      <c r="O334" s="8">
        <v>1255.3599999999999</v>
      </c>
      <c r="P334" s="8"/>
      <c r="Q334" s="8">
        <v>4032.43</v>
      </c>
      <c r="R334" s="8"/>
      <c r="S334" s="8"/>
      <c r="T334" s="8"/>
      <c r="U334" s="8">
        <v>2085.35</v>
      </c>
      <c r="V334" s="8"/>
      <c r="W334" s="47">
        <v>7085</v>
      </c>
      <c r="Y334" s="73">
        <v>2755</v>
      </c>
      <c r="AA334" s="8">
        <f t="shared" si="507"/>
        <v>2286.7579999999998</v>
      </c>
      <c r="AB334" s="8">
        <f t="shared" si="508"/>
        <v>4032.43</v>
      </c>
      <c r="AC334" s="8">
        <f t="shared" si="509"/>
        <v>1255.3599999999999</v>
      </c>
      <c r="AE334" s="8">
        <f t="shared" si="510"/>
        <v>-201.4079999999999</v>
      </c>
      <c r="AF334" s="8">
        <f t="shared" si="511"/>
        <v>-1947.08</v>
      </c>
      <c r="AG334" s="8">
        <f t="shared" si="512"/>
        <v>829.99</v>
      </c>
      <c r="AI334" s="8">
        <f t="shared" si="513"/>
        <v>4798.2420000000002</v>
      </c>
      <c r="AJ334" s="8">
        <f t="shared" si="514"/>
        <v>3052.57</v>
      </c>
      <c r="AK334" s="8">
        <f t="shared" si="515"/>
        <v>5829.64</v>
      </c>
    </row>
    <row r="335" spans="1:37" s="29" customFormat="1" x14ac:dyDescent="0.2">
      <c r="A335" s="2"/>
      <c r="B335" s="2"/>
      <c r="C335" s="2"/>
      <c r="D335" s="2"/>
      <c r="E335" s="2"/>
      <c r="F335" s="2"/>
      <c r="G335" s="2" t="s">
        <v>265</v>
      </c>
      <c r="H335" s="8"/>
      <c r="I335" s="8"/>
      <c r="J335" s="8"/>
      <c r="K335" s="8"/>
      <c r="L335" s="8"/>
      <c r="M335" s="8"/>
      <c r="N335" s="8"/>
      <c r="O335" s="8"/>
      <c r="P335" s="8"/>
      <c r="Q335" s="8">
        <v>365.71</v>
      </c>
      <c r="R335" s="8"/>
      <c r="S335" s="8"/>
      <c r="T335" s="8"/>
      <c r="U335" s="8">
        <v>975</v>
      </c>
      <c r="V335" s="8"/>
      <c r="W335" s="47">
        <v>200</v>
      </c>
      <c r="Y335" s="73">
        <v>975</v>
      </c>
      <c r="AA335" s="8">
        <f t="shared" si="507"/>
        <v>365.71</v>
      </c>
      <c r="AB335" s="8">
        <f t="shared" si="508"/>
        <v>365.71</v>
      </c>
      <c r="AC335" s="8">
        <f t="shared" si="509"/>
        <v>365.71</v>
      </c>
      <c r="AE335" s="8">
        <f t="shared" si="510"/>
        <v>609.29</v>
      </c>
      <c r="AF335" s="8">
        <f t="shared" si="511"/>
        <v>609.29</v>
      </c>
      <c r="AG335" s="8">
        <f t="shared" si="512"/>
        <v>609.29</v>
      </c>
      <c r="AI335" s="8">
        <f t="shared" si="513"/>
        <v>-165.70999999999998</v>
      </c>
      <c r="AJ335" s="8">
        <f t="shared" si="514"/>
        <v>-165.70999999999998</v>
      </c>
      <c r="AK335" s="8">
        <f t="shared" si="515"/>
        <v>-165.70999999999998</v>
      </c>
    </row>
    <row r="336" spans="1:37" s="29" customFormat="1" x14ac:dyDescent="0.2">
      <c r="A336" s="2"/>
      <c r="B336" s="2"/>
      <c r="C336" s="2"/>
      <c r="D336" s="2"/>
      <c r="E336" s="2"/>
      <c r="F336" s="2"/>
      <c r="G336" s="2" t="s">
        <v>302</v>
      </c>
      <c r="H336" s="8"/>
      <c r="I336" s="8">
        <v>4855</v>
      </c>
      <c r="J336" s="8"/>
      <c r="K336" s="8">
        <v>612</v>
      </c>
      <c r="L336" s="8"/>
      <c r="M336" s="8">
        <v>1747</v>
      </c>
      <c r="N336" s="8"/>
      <c r="O336" s="8">
        <v>7454.81</v>
      </c>
      <c r="P336" s="8"/>
      <c r="Q336" s="8">
        <v>90.76</v>
      </c>
      <c r="R336" s="8"/>
      <c r="S336" s="8"/>
      <c r="T336" s="8"/>
      <c r="U336" s="8">
        <v>1179.73</v>
      </c>
      <c r="V336" s="8"/>
      <c r="W336" s="46">
        <v>3845</v>
      </c>
      <c r="Y336" s="73">
        <v>3800</v>
      </c>
      <c r="AA336" s="8">
        <f t="shared" si="507"/>
        <v>2951.9140000000002</v>
      </c>
      <c r="AB336" s="8">
        <f t="shared" si="508"/>
        <v>7454.81</v>
      </c>
      <c r="AC336" s="8">
        <f t="shared" si="509"/>
        <v>90.76</v>
      </c>
      <c r="AE336" s="8">
        <f t="shared" si="510"/>
        <v>-1772.1840000000002</v>
      </c>
      <c r="AF336" s="8">
        <f t="shared" si="511"/>
        <v>-6275.08</v>
      </c>
      <c r="AG336" s="8">
        <f t="shared" si="512"/>
        <v>1088.97</v>
      </c>
      <c r="AI336" s="8">
        <f t="shared" si="513"/>
        <v>893.08599999999979</v>
      </c>
      <c r="AJ336" s="8">
        <f t="shared" si="514"/>
        <v>-3609.8100000000004</v>
      </c>
      <c r="AK336" s="8">
        <f t="shared" si="515"/>
        <v>3754.24</v>
      </c>
    </row>
    <row r="337" spans="1:37" s="29" customFormat="1" x14ac:dyDescent="0.2">
      <c r="A337" s="2"/>
      <c r="B337" s="2"/>
      <c r="C337" s="2"/>
      <c r="D337" s="2"/>
      <c r="E337" s="2"/>
      <c r="F337" s="2"/>
      <c r="G337" s="2" t="s">
        <v>266</v>
      </c>
      <c r="H337" s="8"/>
      <c r="I337" s="8"/>
      <c r="J337" s="8"/>
      <c r="K337" s="8"/>
      <c r="L337" s="8"/>
      <c r="M337" s="8"/>
      <c r="N337" s="8"/>
      <c r="O337" s="8"/>
      <c r="P337" s="8"/>
      <c r="Q337" s="8">
        <v>9231.86</v>
      </c>
      <c r="R337" s="8"/>
      <c r="S337" s="8"/>
      <c r="T337" s="8"/>
      <c r="U337" s="8">
        <v>11460.52</v>
      </c>
      <c r="V337" s="8"/>
      <c r="W337" s="46">
        <v>10000</v>
      </c>
      <c r="Y337" s="73">
        <v>10000</v>
      </c>
      <c r="AA337" s="8">
        <f t="shared" si="507"/>
        <v>9231.86</v>
      </c>
      <c r="AB337" s="8">
        <f t="shared" si="508"/>
        <v>9231.86</v>
      </c>
      <c r="AC337" s="8">
        <f t="shared" si="509"/>
        <v>9231.86</v>
      </c>
      <c r="AE337" s="8">
        <f t="shared" si="510"/>
        <v>2228.66</v>
      </c>
      <c r="AF337" s="8">
        <f t="shared" si="511"/>
        <v>2228.66</v>
      </c>
      <c r="AG337" s="8">
        <f t="shared" si="512"/>
        <v>2228.66</v>
      </c>
      <c r="AI337" s="8">
        <f t="shared" si="513"/>
        <v>768.13999999999942</v>
      </c>
      <c r="AJ337" s="8">
        <f t="shared" si="514"/>
        <v>768.13999999999942</v>
      </c>
      <c r="AK337" s="8">
        <f t="shared" si="515"/>
        <v>768.13999999999942</v>
      </c>
    </row>
    <row r="338" spans="1:37" s="29" customFormat="1" ht="10.8" thickBot="1" x14ac:dyDescent="0.25">
      <c r="A338" s="2"/>
      <c r="B338" s="2"/>
      <c r="C338" s="2"/>
      <c r="D338" s="2"/>
      <c r="E338" s="2"/>
      <c r="F338" s="2"/>
      <c r="G338" s="2" t="s">
        <v>267</v>
      </c>
      <c r="H338" s="8"/>
      <c r="I338" s="9">
        <v>1691</v>
      </c>
      <c r="J338" s="8"/>
      <c r="K338" s="9">
        <v>5324</v>
      </c>
      <c r="L338" s="8"/>
      <c r="M338" s="9">
        <v>12069</v>
      </c>
      <c r="N338" s="8"/>
      <c r="O338" s="9">
        <v>17138.28</v>
      </c>
      <c r="P338" s="9"/>
      <c r="Q338" s="8">
        <v>4924.07</v>
      </c>
      <c r="R338" s="9"/>
      <c r="S338" s="9"/>
      <c r="T338" s="8"/>
      <c r="U338" s="8">
        <v>4154.1099999999997</v>
      </c>
      <c r="V338" s="8"/>
      <c r="W338" s="48">
        <v>1800</v>
      </c>
      <c r="Y338" s="81">
        <v>2000</v>
      </c>
      <c r="AA338" s="9">
        <f t="shared" si="507"/>
        <v>8229.27</v>
      </c>
      <c r="AB338" s="9">
        <f t="shared" si="508"/>
        <v>17138.28</v>
      </c>
      <c r="AC338" s="9">
        <f t="shared" si="509"/>
        <v>1691</v>
      </c>
      <c r="AE338" s="9">
        <f t="shared" si="510"/>
        <v>-4075.1600000000008</v>
      </c>
      <c r="AF338" s="9">
        <f t="shared" si="511"/>
        <v>-12984.169999999998</v>
      </c>
      <c r="AG338" s="9">
        <f t="shared" si="512"/>
        <v>2463.1099999999997</v>
      </c>
      <c r="AI338" s="9">
        <f t="shared" si="513"/>
        <v>-6429.27</v>
      </c>
      <c r="AJ338" s="9">
        <f t="shared" si="514"/>
        <v>-15338.279999999999</v>
      </c>
      <c r="AK338" s="9">
        <f t="shared" si="515"/>
        <v>109</v>
      </c>
    </row>
    <row r="339" spans="1:37" s="29" customFormat="1" ht="10.8" thickBot="1" x14ac:dyDescent="0.25">
      <c r="A339" s="2"/>
      <c r="B339" s="2"/>
      <c r="C339" s="2"/>
      <c r="D339" s="2"/>
      <c r="E339" s="2"/>
      <c r="F339" s="2" t="s">
        <v>268</v>
      </c>
      <c r="G339" s="2"/>
      <c r="H339" s="8"/>
      <c r="I339" s="12">
        <f>ROUND(SUM(I330:I338),5)</f>
        <v>21115</v>
      </c>
      <c r="J339" s="8"/>
      <c r="K339" s="12">
        <f>ROUND(SUM(K330:K338),5)</f>
        <v>20603</v>
      </c>
      <c r="L339" s="8"/>
      <c r="M339" s="12">
        <f>ROUND(SUM(M330:M338),5)</f>
        <v>26659</v>
      </c>
      <c r="N339" s="8"/>
      <c r="O339" s="12">
        <f>ROUND(SUM(O330:O338),5)</f>
        <v>32991.32</v>
      </c>
      <c r="P339" s="12"/>
      <c r="Q339" s="12">
        <f>ROUND(SUM(Q330:Q338),5)</f>
        <v>25998.93</v>
      </c>
      <c r="R339" s="9"/>
      <c r="S339" s="9"/>
      <c r="T339" s="8"/>
      <c r="U339" s="12">
        <f>ROUND(SUM(U330:U338),5)</f>
        <v>20756.71</v>
      </c>
      <c r="V339" s="8"/>
      <c r="W339" s="12">
        <f>ROUND(SUM(W330:W338),5)</f>
        <v>24664</v>
      </c>
      <c r="Y339" s="80">
        <f>ROUND(SUM(Y330:Y338),5)</f>
        <v>21560</v>
      </c>
      <c r="AA339" s="12">
        <f t="shared" ref="AA339:AC339" si="516">ROUND(SUM(AA330:AA338),5)</f>
        <v>33703.506000000001</v>
      </c>
      <c r="AB339" s="12">
        <f t="shared" si="516"/>
        <v>51840.09</v>
      </c>
      <c r="AC339" s="12">
        <f t="shared" si="516"/>
        <v>19988.79</v>
      </c>
      <c r="AE339" s="12">
        <f t="shared" ref="AE339" si="517">ROUND(SUM(AE330:AE338),5)</f>
        <v>-12946.796</v>
      </c>
      <c r="AF339" s="12">
        <f t="shared" ref="AF339" si="518">ROUND(SUM(AF330:AF338),5)</f>
        <v>-31083.38</v>
      </c>
      <c r="AG339" s="12">
        <f t="shared" ref="AG339" si="519">ROUND(SUM(AG330:AG338),5)</f>
        <v>767.92</v>
      </c>
      <c r="AI339" s="12">
        <f t="shared" ref="AI339:AK339" si="520">ROUND(SUM(AI330:AI338),5)</f>
        <v>-9039.5059999999994</v>
      </c>
      <c r="AJ339" s="12">
        <f t="shared" si="520"/>
        <v>-27176.09</v>
      </c>
      <c r="AK339" s="12">
        <f t="shared" si="520"/>
        <v>4675.21</v>
      </c>
    </row>
    <row r="340" spans="1:37" s="29" customFormat="1" ht="10.8" thickBot="1" x14ac:dyDescent="0.25">
      <c r="A340" s="2"/>
      <c r="B340" s="2"/>
      <c r="C340" s="2"/>
      <c r="D340" s="2"/>
      <c r="E340" s="2" t="s">
        <v>289</v>
      </c>
      <c r="F340" s="2"/>
      <c r="G340" s="2"/>
      <c r="H340" s="8"/>
      <c r="I340" s="12">
        <f>ROUND(I312+I319+I325+I329+I339,5)</f>
        <v>340647</v>
      </c>
      <c r="J340" s="8"/>
      <c r="K340" s="12">
        <f>ROUND(K312+K319+K325+K329+K339,5)</f>
        <v>368057</v>
      </c>
      <c r="L340" s="8"/>
      <c r="M340" s="12">
        <f>ROUND(M312+M319+M325+M329+M339,5)</f>
        <v>337350</v>
      </c>
      <c r="N340" s="8"/>
      <c r="O340" s="12">
        <f>ROUND(O312+O319+O325+O329+O339,5)</f>
        <v>372206.45</v>
      </c>
      <c r="P340" s="12"/>
      <c r="Q340" s="12">
        <f>ROUND(Q312+Q319+Q325+Q329+Q339,5)</f>
        <v>384336.68</v>
      </c>
      <c r="R340" s="9"/>
      <c r="S340" s="9"/>
      <c r="T340" s="8"/>
      <c r="U340" s="12">
        <f>ROUND(U312+U319+U325+U329+U339,5)</f>
        <v>411624.17</v>
      </c>
      <c r="V340" s="8"/>
      <c r="W340" s="12">
        <f>ROUND(W312+W319+W325+W329+W339,5)</f>
        <v>417765</v>
      </c>
      <c r="Y340" s="80">
        <f>ROUND(Y312+Y319+Y325+Y329+Y339,5)</f>
        <v>432364</v>
      </c>
      <c r="AA340" s="12">
        <f t="shared" ref="AA340:AC340" si="521">ROUND(AA312+AA319+AA325+AA329+AA339,5)</f>
        <v>369596.64850000001</v>
      </c>
      <c r="AB340" s="12">
        <f t="shared" si="521"/>
        <v>424720.1</v>
      </c>
      <c r="AC340" s="12">
        <f t="shared" si="521"/>
        <v>323917.38</v>
      </c>
      <c r="AE340" s="12">
        <f t="shared" ref="AE340" si="522">ROUND(AE312+AE319+AE325+AE329+AE339,5)</f>
        <v>42027.521500000003</v>
      </c>
      <c r="AF340" s="12">
        <f t="shared" ref="AF340" si="523">ROUND(AF312+AF319+AF325+AF329+AF339,5)</f>
        <v>-13095.93</v>
      </c>
      <c r="AG340" s="12">
        <f t="shared" ref="AG340" si="524">ROUND(AG312+AG319+AG325+AG329+AG339,5)</f>
        <v>87706.79</v>
      </c>
      <c r="AI340" s="12">
        <f t="shared" ref="AI340:AK340" si="525">ROUND(AI312+AI319+AI325+AI329+AI339,5)</f>
        <v>48168.351499999997</v>
      </c>
      <c r="AJ340" s="12">
        <f t="shared" si="525"/>
        <v>-6955.1</v>
      </c>
      <c r="AK340" s="12">
        <f t="shared" si="525"/>
        <v>93847.62</v>
      </c>
    </row>
    <row r="341" spans="1:37" s="29" customFormat="1" ht="10.8" thickBot="1" x14ac:dyDescent="0.25">
      <c r="A341" s="2"/>
      <c r="B341" s="2"/>
      <c r="C341" s="2"/>
      <c r="D341" s="2" t="s">
        <v>269</v>
      </c>
      <c r="E341" s="2"/>
      <c r="F341" s="2"/>
      <c r="G341" s="2"/>
      <c r="H341" s="8"/>
      <c r="I341" s="12">
        <f>ROUND(I85+I126+I160+I208+I233+I271+I292+I310+I340,5)</f>
        <v>2872489</v>
      </c>
      <c r="J341" s="8"/>
      <c r="K341" s="12">
        <f>ROUND(K85+K126+K160+K208+K233+K271+K292+K310+K340,5)</f>
        <v>3067668</v>
      </c>
      <c r="L341" s="8"/>
      <c r="M341" s="12">
        <f>ROUND(M85+M126+M160+M208+M233+M271+M292+M310+M340,5)</f>
        <v>3296432</v>
      </c>
      <c r="N341" s="8"/>
      <c r="O341" s="12">
        <f>ROUND(O85+O126+O160+O208+O233+O271+O292+O310+O340,5)</f>
        <v>3575082.26</v>
      </c>
      <c r="P341" s="12"/>
      <c r="Q341" s="12">
        <f>ROUND(Q85+Q126+Q160+Q208+Q233+Q271+Q292+Q310+Q340,5)</f>
        <v>3424790.42</v>
      </c>
      <c r="R341" s="9"/>
      <c r="S341" s="9"/>
      <c r="T341" s="8"/>
      <c r="U341" s="12">
        <f>ROUND(U85+U126+U160+U208+U233+U271+U292+U310+U340,5)</f>
        <v>3440223.07</v>
      </c>
      <c r="V341" s="8"/>
      <c r="W341" s="12">
        <f>ROUND(W85+W126+W160+W208+W233+W271+W292+W310+W340,5)</f>
        <v>3480394</v>
      </c>
      <c r="Y341" s="33">
        <f>ROUND(Y85+Y126+Y160+Y208+Y233+Y271+Y292+Y310+Y340,5)</f>
        <v>3703708</v>
      </c>
      <c r="AA341" s="12">
        <f>ROUND(AA85+AA126+AA160+AA208+AA233+AA271+AA292+AA310+AA340,5)</f>
        <v>3524346.66383</v>
      </c>
      <c r="AB341" s="12">
        <f>ROUND(AB85+AB126+AB160+AB208+AB233+AB271+AB292+AB310+AB340,5)</f>
        <v>4876721.57</v>
      </c>
      <c r="AC341" s="12">
        <f>ROUND(AC85+AC126+AC160+AC208+AC233+AC271+AC292+AC310+AC340,5)</f>
        <v>2627071.75</v>
      </c>
      <c r="AE341" s="12">
        <f>ROUND(AE85+AE126+AE160+AE208+AE233+AE271+AE292+AE310+AE340,5)</f>
        <v>-161620.14382999999</v>
      </c>
      <c r="AF341" s="12">
        <f>ROUND(AF85+AF126+AF160+AF208+AF233+AF271+AF292+AF310+AF340,5)</f>
        <v>-1554483.41</v>
      </c>
      <c r="AG341" s="12">
        <f>ROUND(AG85+AG126+AG160+AG208+AG233+AG271+AG292+AG310+AG340,5)</f>
        <v>735654.77</v>
      </c>
      <c r="AI341" s="12">
        <f>ROUND(AI85+AI126+AI160+AI208+AI233+AI271+AI292+AI310+AI340,5)</f>
        <v>-44691.760499999997</v>
      </c>
      <c r="AJ341" s="12">
        <f>ROUND(AJ85+AJ126+AJ160+AJ208+AJ233+AJ271+AJ292+AJ310+AJ340,5)</f>
        <v>-1433199.86</v>
      </c>
      <c r="AK341" s="12">
        <f>ROUND(AK85+AK126+AK160+AK208+AK233+AK271+AK292+AK310+AK340,5)</f>
        <v>849462.25</v>
      </c>
    </row>
    <row r="342" spans="1:37" s="29" customFormat="1" ht="10.8" thickBot="1" x14ac:dyDescent="0.25">
      <c r="A342" s="2"/>
      <c r="B342" s="2" t="s">
        <v>270</v>
      </c>
      <c r="C342" s="2"/>
      <c r="D342" s="2"/>
      <c r="E342" s="2"/>
      <c r="F342" s="2"/>
      <c r="G342" s="2"/>
      <c r="H342" s="8"/>
      <c r="I342" s="12">
        <f>ROUND(I3+I83-I341,5)</f>
        <v>242451</v>
      </c>
      <c r="J342" s="8"/>
      <c r="K342" s="12">
        <f>ROUND(K3+K83-K341,5)</f>
        <v>275628</v>
      </c>
      <c r="L342" s="8"/>
      <c r="M342" s="12">
        <f>ROUND(M3+M83-M341,5)</f>
        <v>289186</v>
      </c>
      <c r="N342" s="8"/>
      <c r="O342" s="12">
        <f>ROUND(O3+O83-O341,5)</f>
        <v>276977.42</v>
      </c>
      <c r="P342" s="12"/>
      <c r="Q342" s="12">
        <f>ROUND(Q3+Q83-Q341,5)</f>
        <v>664983.30000000005</v>
      </c>
      <c r="R342" s="9"/>
      <c r="S342" s="9"/>
      <c r="T342" s="8"/>
      <c r="U342" s="70">
        <f>ROUND(U3+U83-U341,5)</f>
        <v>-139844.14000000001</v>
      </c>
      <c r="V342" s="8"/>
      <c r="W342" s="45">
        <f>ROUND(W3+W83-W341,5)</f>
        <v>41306</v>
      </c>
      <c r="Y342" s="92">
        <f>ROUND(Y3+Y83-Y341,5)</f>
        <v>342</v>
      </c>
      <c r="AA342" s="12">
        <f>ROUND(AA3+AA83-AA341,5)</f>
        <v>201328.46400000001</v>
      </c>
      <c r="AB342" s="12">
        <f>ROUND(AB3+AB83-AB341,5)</f>
        <v>-466017.42</v>
      </c>
      <c r="AC342" s="12">
        <f>ROUND(AC3+AC83-AC341,5)</f>
        <v>410452.36</v>
      </c>
      <c r="AE342" s="12">
        <f>ROUND(AE3+AE83-AE341,5)</f>
        <v>-621733.82200000004</v>
      </c>
      <c r="AF342" s="12">
        <f>ROUND(AF3+AF83-AF341,5)</f>
        <v>92064.8</v>
      </c>
      <c r="AG342" s="12">
        <f>ROUND(AG3+AG83-AG341,5)</f>
        <v>-835924.99</v>
      </c>
      <c r="AI342" s="12">
        <f>ROUND(AI3+AI83-AI341,5)</f>
        <v>-170308.2395</v>
      </c>
      <c r="AJ342" s="12">
        <f>ROUND(AJ3+AJ83-AJ341,5)</f>
        <v>1133199.8600000001</v>
      </c>
      <c r="AK342" s="12">
        <f>ROUND(AK3+AK83-AK341,5)</f>
        <v>-969462.25</v>
      </c>
    </row>
    <row r="343" spans="1:37" s="8" customFormat="1" ht="10.8" thickBot="1" x14ac:dyDescent="0.25">
      <c r="A343" s="2" t="s">
        <v>271</v>
      </c>
      <c r="B343" s="2"/>
      <c r="C343" s="2"/>
      <c r="D343" s="2"/>
      <c r="E343" s="2"/>
      <c r="F343" s="2"/>
      <c r="G343" s="2"/>
      <c r="I343" s="17">
        <f>I342</f>
        <v>242451</v>
      </c>
      <c r="K343" s="17">
        <f>K342</f>
        <v>275628</v>
      </c>
      <c r="M343" s="17">
        <f>M342</f>
        <v>289186</v>
      </c>
      <c r="O343" s="17">
        <f>O342</f>
        <v>276977.42</v>
      </c>
      <c r="P343" s="17"/>
      <c r="Q343" s="17">
        <f>Q342</f>
        <v>664983.30000000005</v>
      </c>
      <c r="R343" s="9"/>
      <c r="S343" s="9"/>
      <c r="U343" s="71">
        <f>U342</f>
        <v>-139844.14000000001</v>
      </c>
      <c r="W343" s="44">
        <f>W342</f>
        <v>41306</v>
      </c>
      <c r="Y343" s="91">
        <f>Y342</f>
        <v>342</v>
      </c>
      <c r="AA343" s="17">
        <f t="shared" ref="AA343:AC343" si="526">AA342</f>
        <v>201328.46400000001</v>
      </c>
      <c r="AB343" s="17">
        <f t="shared" si="526"/>
        <v>-466017.42</v>
      </c>
      <c r="AC343" s="17">
        <f t="shared" si="526"/>
        <v>410452.36</v>
      </c>
      <c r="AE343" s="17">
        <f t="shared" ref="AE343" si="527">AE342</f>
        <v>-621733.82200000004</v>
      </c>
      <c r="AF343" s="17">
        <f t="shared" ref="AF343" si="528">AF342</f>
        <v>92064.8</v>
      </c>
      <c r="AG343" s="17">
        <f t="shared" ref="AG343" si="529">AG342</f>
        <v>-835924.99</v>
      </c>
      <c r="AI343" s="17">
        <f t="shared" ref="AI343:AK343" si="530">AI342</f>
        <v>-170308.2395</v>
      </c>
      <c r="AJ343" s="17">
        <f t="shared" si="530"/>
        <v>1133199.8600000001</v>
      </c>
      <c r="AK343" s="17">
        <f t="shared" si="530"/>
        <v>-969462.25</v>
      </c>
    </row>
    <row r="344" spans="1:37" s="29" customFormat="1" ht="10.8" thickTop="1" x14ac:dyDescent="0.2">
      <c r="A344" s="18"/>
      <c r="B344" s="18"/>
      <c r="C344" s="18"/>
      <c r="D344" s="18"/>
      <c r="E344" s="18"/>
      <c r="F344" s="18"/>
      <c r="G344" s="18"/>
      <c r="J344" s="8"/>
    </row>
    <row r="346" spans="1:37" x14ac:dyDescent="0.2">
      <c r="G346" s="18" t="s">
        <v>388</v>
      </c>
      <c r="W346" s="40" t="s">
        <v>281</v>
      </c>
    </row>
    <row r="347" spans="1:37" x14ac:dyDescent="0.2">
      <c r="G347" s="18" t="s">
        <v>374</v>
      </c>
      <c r="Y347" s="40">
        <v>50000</v>
      </c>
      <c r="AA347" s="22" t="s">
        <v>383</v>
      </c>
    </row>
    <row r="348" spans="1:37" x14ac:dyDescent="0.2">
      <c r="G348" s="18" t="s">
        <v>375</v>
      </c>
      <c r="Y348" s="40">
        <v>100000</v>
      </c>
      <c r="AA348" s="22" t="s">
        <v>383</v>
      </c>
    </row>
    <row r="349" spans="1:37" x14ac:dyDescent="0.2">
      <c r="G349" s="18" t="s">
        <v>376</v>
      </c>
      <c r="Y349" s="40">
        <v>52300</v>
      </c>
      <c r="AA349" s="22" t="s">
        <v>383</v>
      </c>
    </row>
    <row r="350" spans="1:37" x14ac:dyDescent="0.2">
      <c r="G350" s="18" t="s">
        <v>319</v>
      </c>
      <c r="Y350" s="40">
        <v>25000</v>
      </c>
      <c r="AA350" s="72" t="s">
        <v>387</v>
      </c>
    </row>
    <row r="351" spans="1:37" x14ac:dyDescent="0.2">
      <c r="G351" s="18" t="s">
        <v>377</v>
      </c>
      <c r="Y351" s="40">
        <v>100000</v>
      </c>
      <c r="AA351" s="22" t="s">
        <v>383</v>
      </c>
    </row>
    <row r="352" spans="1:37" x14ac:dyDescent="0.2">
      <c r="G352" s="18" t="s">
        <v>379</v>
      </c>
      <c r="Y352" s="40">
        <v>10000</v>
      </c>
      <c r="AA352" s="86" t="s">
        <v>392</v>
      </c>
    </row>
    <row r="353" spans="7:27" x14ac:dyDescent="0.2">
      <c r="G353" s="18" t="s">
        <v>380</v>
      </c>
      <c r="Y353" s="40">
        <v>20000</v>
      </c>
      <c r="AA353" s="86" t="s">
        <v>392</v>
      </c>
    </row>
    <row r="354" spans="7:27" x14ac:dyDescent="0.2">
      <c r="G354" s="18" t="s">
        <v>378</v>
      </c>
      <c r="Y354" s="40">
        <v>50000</v>
      </c>
      <c r="AA354" s="86" t="s">
        <v>392</v>
      </c>
    </row>
    <row r="355" spans="7:27" x14ac:dyDescent="0.2">
      <c r="G355" s="18" t="s">
        <v>384</v>
      </c>
      <c r="Y355" s="40">
        <v>10000</v>
      </c>
      <c r="AA355" s="72" t="s">
        <v>387</v>
      </c>
    </row>
    <row r="356" spans="7:27" x14ac:dyDescent="0.2">
      <c r="G356" s="18" t="s">
        <v>385</v>
      </c>
      <c r="Y356" s="40">
        <v>12000</v>
      </c>
      <c r="AA356" s="72" t="s">
        <v>387</v>
      </c>
    </row>
    <row r="357" spans="7:27" x14ac:dyDescent="0.2">
      <c r="G357" s="18" t="s">
        <v>386</v>
      </c>
      <c r="Y357" s="40">
        <v>8000</v>
      </c>
      <c r="AA357" s="72" t="s">
        <v>387</v>
      </c>
    </row>
    <row r="358" spans="7:27" x14ac:dyDescent="0.2">
      <c r="G358" s="18" t="s">
        <v>393</v>
      </c>
      <c r="Y358" s="40">
        <v>15000</v>
      </c>
      <c r="AA358" s="72" t="s">
        <v>387</v>
      </c>
    </row>
    <row r="359" spans="7:27" x14ac:dyDescent="0.2">
      <c r="G359" s="72" t="s">
        <v>395</v>
      </c>
      <c r="Y359" s="40">
        <v>25000</v>
      </c>
      <c r="AA359" s="72" t="s">
        <v>387</v>
      </c>
    </row>
    <row r="360" spans="7:27" x14ac:dyDescent="0.2">
      <c r="Y360" s="40"/>
    </row>
    <row r="361" spans="7:27" x14ac:dyDescent="0.2">
      <c r="G361" s="59" t="s">
        <v>389</v>
      </c>
      <c r="Y361" s="66">
        <f>SUM(Y347:Y360)</f>
        <v>477300</v>
      </c>
    </row>
    <row r="362" spans="7:27" x14ac:dyDescent="0.2">
      <c r="W362" s="40"/>
      <c r="Y362" s="40"/>
    </row>
    <row r="363" spans="7:27" x14ac:dyDescent="0.2">
      <c r="W363" s="40"/>
      <c r="Y363" s="40"/>
    </row>
    <row r="364" spans="7:27" x14ac:dyDescent="0.2">
      <c r="W364" s="40"/>
      <c r="Y364" s="40"/>
    </row>
    <row r="365" spans="7:27" x14ac:dyDescent="0.2">
      <c r="G365" s="18" t="s">
        <v>281</v>
      </c>
      <c r="W365" s="40"/>
      <c r="Y365" s="40"/>
    </row>
    <row r="366" spans="7:27" x14ac:dyDescent="0.2">
      <c r="G366" s="21"/>
      <c r="W366" s="40"/>
      <c r="Y366" s="40"/>
    </row>
    <row r="367" spans="7:27" x14ac:dyDescent="0.2">
      <c r="W367" s="40"/>
      <c r="Y367" s="40"/>
    </row>
    <row r="368" spans="7:27" x14ac:dyDescent="0.2">
      <c r="W368" s="40"/>
      <c r="Y368" s="40"/>
    </row>
  </sheetData>
  <autoFilter ref="A1:AC344" xr:uid="{00000000-0009-0000-0000-000001000000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hiddenButton="1" showButton="0"/>
    <filterColumn colId="16" hiddenButton="1" showButton="0"/>
    <filterColumn colId="17" hiddenButton="1" showButton="0"/>
    <filterColumn colId="18" hiddenButton="1" showButton="0"/>
    <filterColumn colId="19" showButton="0"/>
    <filterColumn colId="20" showButton="0"/>
  </autoFilter>
  <mergeCells count="8">
    <mergeCell ref="AI1:AI2"/>
    <mergeCell ref="AJ1:AJ2"/>
    <mergeCell ref="AK1:AK2"/>
    <mergeCell ref="H1:V1"/>
    <mergeCell ref="AA1:AA2"/>
    <mergeCell ref="AE1:AE2"/>
    <mergeCell ref="AF1:AF2"/>
    <mergeCell ref="AG1:AG2"/>
  </mergeCells>
  <pageMargins left="0" right="0" top="0.75" bottom="0.75" header="0.1" footer="0.3"/>
  <pageSetup paperSize="17" scale="96" orientation="landscape" r:id="rId1"/>
  <headerFooter>
    <oddHeader>&amp;C&amp;"Arial,Bold"&amp;12 Town of Dewey Beach
FY- 2021 &amp;KFF0000DRAFT&amp;K01+000 Budget Estimate - As of &amp;KFF000003-20-2020&amp;K01+000 - TM Recommended Version for Adoption</oddHeader>
    <oddFooter>&amp;L&amp;D &amp;T&amp;R&amp;"Arial,Bold"&amp;8 Page &amp;P of &amp;N</oddFooter>
  </headerFooter>
  <rowBreaks count="8" manualBreakCount="8">
    <brk id="60" max="26" man="1"/>
    <brk id="84" max="26" man="1"/>
    <brk id="126" max="26" man="1"/>
    <brk id="161" max="26" man="1"/>
    <brk id="208" max="26" man="1"/>
    <brk id="234" max="26" man="1"/>
    <brk id="271" max="26" man="1"/>
    <brk id="310" max="26" man="1"/>
  </rowBreaks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37526-D148-4942-94C8-0E817BB3D361}">
  <sheetPr codeName="Sheet2"/>
  <dimension ref="A1:V350"/>
  <sheetViews>
    <sheetView topLeftCell="E1" workbookViewId="0">
      <pane xSplit="2" ySplit="2" topLeftCell="J51" activePane="bottomRight" state="frozen"/>
      <selection activeCell="E1" sqref="E1"/>
      <selection pane="topRight" activeCell="G1" sqref="G1"/>
      <selection pane="bottomLeft" activeCell="E3" sqref="E3"/>
      <selection pane="bottomRight" activeCell="L74" sqref="L74"/>
    </sheetView>
  </sheetViews>
  <sheetFormatPr defaultColWidth="9.109375" defaultRowHeight="10.199999999999999" x14ac:dyDescent="0.2"/>
  <cols>
    <col min="1" max="5" width="3" style="59" customWidth="1"/>
    <col min="6" max="6" width="54.33203125" style="59" bestFit="1" customWidth="1"/>
    <col min="7" max="7" width="11.33203125" style="22" bestFit="1" customWidth="1"/>
    <col min="8" max="19" width="11.5546875" style="60" bestFit="1" customWidth="1"/>
    <col min="20" max="20" width="12.6640625" style="60" bestFit="1" customWidth="1"/>
    <col min="21" max="16384" width="9.109375" style="21"/>
  </cols>
  <sheetData>
    <row r="1" spans="1:21" ht="10.8" thickBot="1" x14ac:dyDescent="0.25">
      <c r="A1" s="54"/>
      <c r="B1" s="54"/>
      <c r="C1" s="54"/>
      <c r="D1" s="54"/>
      <c r="E1" s="54"/>
      <c r="F1" s="54"/>
      <c r="G1" s="4"/>
    </row>
    <row r="2" spans="1:21" ht="11.4" thickTop="1" thickBot="1" x14ac:dyDescent="0.25">
      <c r="A2" s="55"/>
      <c r="B2" s="55"/>
      <c r="C2" s="55"/>
      <c r="D2" s="55"/>
      <c r="E2" s="55"/>
      <c r="F2" s="55"/>
      <c r="G2" s="53" t="s">
        <v>277</v>
      </c>
      <c r="H2" s="62" t="s">
        <v>335</v>
      </c>
      <c r="I2" s="62" t="s">
        <v>336</v>
      </c>
      <c r="J2" s="62" t="s">
        <v>337</v>
      </c>
      <c r="K2" s="62" t="s">
        <v>338</v>
      </c>
      <c r="L2" s="62" t="s">
        <v>339</v>
      </c>
      <c r="M2" s="62" t="s">
        <v>340</v>
      </c>
      <c r="N2" s="62" t="s">
        <v>341</v>
      </c>
      <c r="O2" s="62" t="s">
        <v>342</v>
      </c>
      <c r="P2" s="62" t="s">
        <v>343</v>
      </c>
      <c r="Q2" s="62" t="s">
        <v>344</v>
      </c>
      <c r="R2" s="62" t="s">
        <v>345</v>
      </c>
      <c r="S2" s="62" t="s">
        <v>346</v>
      </c>
      <c r="T2" s="62" t="s">
        <v>347</v>
      </c>
    </row>
    <row r="3" spans="1:21" ht="10.8" thickTop="1" x14ac:dyDescent="0.2">
      <c r="A3" s="24" t="s">
        <v>0</v>
      </c>
      <c r="B3" s="24"/>
      <c r="C3" s="24"/>
      <c r="D3" s="24"/>
      <c r="E3" s="24"/>
      <c r="F3" s="24"/>
      <c r="G3" s="1"/>
    </row>
    <row r="4" spans="1:21" x14ac:dyDescent="0.2">
      <c r="A4" s="24"/>
      <c r="B4" s="24"/>
      <c r="C4" s="24" t="s">
        <v>1</v>
      </c>
      <c r="D4" s="24"/>
      <c r="E4" s="24"/>
      <c r="F4" s="24"/>
      <c r="G4" s="8"/>
    </row>
    <row r="5" spans="1:21" x14ac:dyDescent="0.2">
      <c r="A5" s="24"/>
      <c r="B5" s="24"/>
      <c r="C5" s="24"/>
      <c r="D5" s="24" t="s">
        <v>2</v>
      </c>
      <c r="E5" s="24"/>
      <c r="F5" s="24"/>
      <c r="G5" s="8"/>
    </row>
    <row r="6" spans="1:21" x14ac:dyDescent="0.2">
      <c r="A6" s="24"/>
      <c r="B6" s="24"/>
      <c r="C6" s="24"/>
      <c r="D6" s="24"/>
      <c r="E6" s="24" t="s">
        <v>3</v>
      </c>
      <c r="F6" s="24"/>
      <c r="G6" s="8"/>
    </row>
    <row r="7" spans="1:21" x14ac:dyDescent="0.2">
      <c r="A7" s="24"/>
      <c r="B7" s="24"/>
      <c r="C7" s="24"/>
      <c r="D7" s="24"/>
      <c r="E7" s="24"/>
      <c r="F7" s="24" t="s">
        <v>4</v>
      </c>
      <c r="G7" s="46">
        <v>630000</v>
      </c>
      <c r="H7" s="60">
        <v>42919.360000000001</v>
      </c>
      <c r="I7" s="60">
        <v>55280.73</v>
      </c>
      <c r="J7" s="60">
        <v>78703.990000000005</v>
      </c>
      <c r="K7" s="60">
        <v>62165.26</v>
      </c>
      <c r="L7" s="60">
        <v>40625.019999999997</v>
      </c>
      <c r="M7" s="60">
        <v>61584.11</v>
      </c>
      <c r="N7" s="60">
        <v>48567.14</v>
      </c>
      <c r="O7" s="60">
        <v>48562.54</v>
      </c>
      <c r="P7" s="60">
        <v>66914.48</v>
      </c>
      <c r="Q7" s="60">
        <v>27183.49</v>
      </c>
      <c r="R7" s="60">
        <v>35607.68</v>
      </c>
      <c r="S7" s="60">
        <v>61886.2</v>
      </c>
      <c r="T7" s="60">
        <f>SUM(H7:S7)</f>
        <v>630000</v>
      </c>
      <c r="U7" s="21" t="str">
        <f>IF(T7=G7,"","STOP")</f>
        <v/>
      </c>
    </row>
    <row r="8" spans="1:21" x14ac:dyDescent="0.2">
      <c r="A8" s="24"/>
      <c r="B8" s="24"/>
      <c r="C8" s="24"/>
      <c r="D8" s="24"/>
      <c r="E8" s="24"/>
      <c r="F8" s="24" t="s">
        <v>5</v>
      </c>
      <c r="G8" s="47">
        <v>512500</v>
      </c>
      <c r="H8" s="60">
        <v>18737.52</v>
      </c>
      <c r="I8" s="60">
        <v>4511.97</v>
      </c>
      <c r="J8" s="60">
        <v>3464.88</v>
      </c>
      <c r="K8" s="60">
        <v>3325.56</v>
      </c>
      <c r="L8" s="60">
        <v>7584.72</v>
      </c>
      <c r="M8" s="60">
        <v>12883.03</v>
      </c>
      <c r="N8" s="60">
        <v>401765.47</v>
      </c>
      <c r="O8" s="60">
        <v>34780.11</v>
      </c>
      <c r="P8" s="60">
        <v>11270.47</v>
      </c>
      <c r="Q8" s="60">
        <v>7333.69</v>
      </c>
      <c r="R8" s="60">
        <v>4332.38</v>
      </c>
      <c r="S8" s="60">
        <v>2510.1999999999998</v>
      </c>
      <c r="T8" s="60">
        <f t="shared" ref="T8:T10" si="0">SUM(H8:S8)</f>
        <v>512499.99999999994</v>
      </c>
      <c r="U8" s="21" t="str">
        <f t="shared" ref="U8:U10" si="1">IF(T8=G8,"","STOP")</f>
        <v/>
      </c>
    </row>
    <row r="9" spans="1:21" x14ac:dyDescent="0.2">
      <c r="A9" s="24"/>
      <c r="B9" s="24"/>
      <c r="C9" s="24"/>
      <c r="D9" s="24"/>
      <c r="E9" s="24"/>
      <c r="F9" s="24" t="s">
        <v>6</v>
      </c>
      <c r="G9" s="47">
        <v>55000</v>
      </c>
      <c r="I9" s="60">
        <f>0.2*G9</f>
        <v>11000</v>
      </c>
      <c r="L9" s="60">
        <f>0.27*G9</f>
        <v>14850.000000000002</v>
      </c>
      <c r="O9" s="60">
        <f>0.28*G9</f>
        <v>15400.000000000002</v>
      </c>
      <c r="R9" s="60">
        <f>0.25*G9</f>
        <v>13750</v>
      </c>
      <c r="T9" s="60">
        <f t="shared" si="0"/>
        <v>55000</v>
      </c>
      <c r="U9" s="21" t="str">
        <f t="shared" si="1"/>
        <v/>
      </c>
    </row>
    <row r="10" spans="1:21" ht="10.8" thickBot="1" x14ac:dyDescent="0.25">
      <c r="A10" s="24"/>
      <c r="B10" s="24"/>
      <c r="C10" s="24"/>
      <c r="D10" s="24"/>
      <c r="E10" s="24"/>
      <c r="F10" s="24" t="s">
        <v>7</v>
      </c>
      <c r="G10" s="48">
        <v>70000</v>
      </c>
      <c r="K10" s="60">
        <f>0.25*G10</f>
        <v>17500</v>
      </c>
      <c r="L10" s="60">
        <f>0.5*G10</f>
        <v>35000</v>
      </c>
      <c r="M10" s="60">
        <f>0.25*G10</f>
        <v>17500</v>
      </c>
      <c r="T10" s="60">
        <f t="shared" si="0"/>
        <v>70000</v>
      </c>
      <c r="U10" s="21" t="str">
        <f t="shared" si="1"/>
        <v/>
      </c>
    </row>
    <row r="11" spans="1:21" ht="10.8" thickBot="1" x14ac:dyDescent="0.25">
      <c r="A11" s="24"/>
      <c r="B11" s="24"/>
      <c r="C11" s="24"/>
      <c r="D11" s="24"/>
      <c r="E11" s="24" t="s">
        <v>8</v>
      </c>
      <c r="F11" s="24"/>
      <c r="G11" s="41">
        <f>ROUND(SUM(G6:G10),5)</f>
        <v>1267500</v>
      </c>
    </row>
    <row r="12" spans="1:21" x14ac:dyDescent="0.2">
      <c r="A12" s="24"/>
      <c r="B12" s="24"/>
      <c r="C12" s="24"/>
      <c r="D12" s="24" t="s">
        <v>9</v>
      </c>
      <c r="E12" s="24"/>
      <c r="F12" s="24"/>
      <c r="G12" s="30">
        <f>ROUND(G5+G11,5)</f>
        <v>1267500</v>
      </c>
    </row>
    <row r="13" spans="1:21" x14ac:dyDescent="0.2">
      <c r="A13" s="24"/>
      <c r="B13" s="24"/>
      <c r="C13" s="24"/>
      <c r="D13" s="24" t="s">
        <v>10</v>
      </c>
      <c r="E13" s="24"/>
      <c r="F13" s="24"/>
      <c r="G13" s="8"/>
    </row>
    <row r="14" spans="1:21" x14ac:dyDescent="0.2">
      <c r="A14" s="24"/>
      <c r="B14" s="24"/>
      <c r="C14" s="24"/>
      <c r="D14" s="24"/>
      <c r="E14" s="24" t="s">
        <v>11</v>
      </c>
      <c r="F14" s="24"/>
      <c r="G14" s="8"/>
    </row>
    <row r="15" spans="1:21" x14ac:dyDescent="0.2">
      <c r="A15" s="24"/>
      <c r="B15" s="24"/>
      <c r="C15" s="24"/>
      <c r="D15" s="24"/>
      <c r="E15" s="24"/>
      <c r="F15" s="24" t="s">
        <v>12</v>
      </c>
      <c r="G15" s="47">
        <v>0</v>
      </c>
    </row>
    <row r="16" spans="1:21" x14ac:dyDescent="0.2">
      <c r="A16" s="24"/>
      <c r="B16" s="24"/>
      <c r="C16" s="24"/>
      <c r="D16" s="24"/>
      <c r="E16" s="24"/>
      <c r="F16" s="24" t="s">
        <v>13</v>
      </c>
      <c r="G16" s="47">
        <v>103500</v>
      </c>
      <c r="H16" s="60">
        <v>23256.639999999999</v>
      </c>
      <c r="I16" s="60">
        <v>17609.419999999998</v>
      </c>
      <c r="J16" s="60">
        <v>6547.74</v>
      </c>
      <c r="K16" s="60">
        <v>2563.59</v>
      </c>
      <c r="L16" s="60">
        <v>833.02</v>
      </c>
      <c r="M16" s="60">
        <v>203.63</v>
      </c>
      <c r="N16" s="60">
        <v>205.04</v>
      </c>
      <c r="O16" s="60">
        <v>68.150000000000006</v>
      </c>
      <c r="P16" s="60">
        <v>61.51</v>
      </c>
      <c r="Q16" s="60">
        <v>0</v>
      </c>
      <c r="R16" s="60">
        <v>6413.7</v>
      </c>
      <c r="S16" s="60">
        <v>45737.56</v>
      </c>
      <c r="T16" s="60">
        <f t="shared" ref="T16:T19" si="2">SUM(H16:S16)</f>
        <v>103500</v>
      </c>
      <c r="U16" s="21" t="str">
        <f t="shared" ref="U16:U19" si="3">IF(T16=G16,"","STOP")</f>
        <v/>
      </c>
    </row>
    <row r="17" spans="1:22" x14ac:dyDescent="0.2">
      <c r="A17" s="24"/>
      <c r="B17" s="24"/>
      <c r="C17" s="24"/>
      <c r="D17" s="24"/>
      <c r="E17" s="24"/>
      <c r="F17" s="24" t="s">
        <v>14</v>
      </c>
      <c r="G17" s="47">
        <v>4000</v>
      </c>
      <c r="H17" s="60">
        <v>856.58</v>
      </c>
      <c r="I17" s="60">
        <v>698.56</v>
      </c>
      <c r="J17" s="60">
        <v>354.53</v>
      </c>
      <c r="K17" s="60">
        <v>242.77</v>
      </c>
      <c r="L17" s="60">
        <v>176.32</v>
      </c>
      <c r="M17" s="60">
        <v>0</v>
      </c>
      <c r="N17" s="60">
        <v>95.51</v>
      </c>
      <c r="O17" s="60">
        <v>0</v>
      </c>
      <c r="P17" s="60">
        <v>81.760000000000005</v>
      </c>
      <c r="Q17" s="60">
        <v>122.76</v>
      </c>
      <c r="R17" s="60">
        <v>559.79999999999995</v>
      </c>
      <c r="S17" s="60">
        <v>811.41</v>
      </c>
      <c r="T17" s="60">
        <f t="shared" si="2"/>
        <v>4000.0000000000009</v>
      </c>
      <c r="U17" s="21" t="str">
        <f t="shared" si="3"/>
        <v/>
      </c>
    </row>
    <row r="18" spans="1:22" x14ac:dyDescent="0.2">
      <c r="A18" s="24"/>
      <c r="B18" s="24"/>
      <c r="C18" s="24"/>
      <c r="D18" s="24"/>
      <c r="E18" s="24"/>
      <c r="F18" s="24" t="s">
        <v>15</v>
      </c>
      <c r="G18" s="47">
        <v>210000</v>
      </c>
      <c r="H18" s="60">
        <v>23244.34</v>
      </c>
      <c r="I18" s="60">
        <v>18787.61</v>
      </c>
      <c r="J18" s="60">
        <v>7528.04</v>
      </c>
      <c r="K18" s="60">
        <v>3432.42</v>
      </c>
      <c r="L18" s="60">
        <v>2353.7800000000002</v>
      </c>
      <c r="M18" s="60">
        <v>1286.48</v>
      </c>
      <c r="N18" s="60">
        <v>3320</v>
      </c>
      <c r="O18" s="60">
        <v>2139.64</v>
      </c>
      <c r="P18" s="60">
        <v>1418.98</v>
      </c>
      <c r="Q18" s="60">
        <v>6945.3</v>
      </c>
      <c r="R18" s="60">
        <v>45612.08</v>
      </c>
      <c r="S18" s="60">
        <v>93931.33</v>
      </c>
      <c r="T18" s="60">
        <f t="shared" si="2"/>
        <v>210000</v>
      </c>
      <c r="U18" s="21" t="str">
        <f t="shared" si="3"/>
        <v/>
      </c>
    </row>
    <row r="19" spans="1:22" ht="10.8" thickBot="1" x14ac:dyDescent="0.25">
      <c r="A19" s="24"/>
      <c r="B19" s="24"/>
      <c r="C19" s="24"/>
      <c r="D19" s="24"/>
      <c r="E19" s="24"/>
      <c r="F19" s="24" t="s">
        <v>16</v>
      </c>
      <c r="G19" s="39">
        <v>7000</v>
      </c>
      <c r="H19" s="60">
        <v>680.35</v>
      </c>
      <c r="I19" s="60">
        <v>1083.6600000000001</v>
      </c>
      <c r="J19" s="60">
        <v>161.1</v>
      </c>
      <c r="K19" s="60">
        <v>125.3</v>
      </c>
      <c r="L19" s="60">
        <v>53.7</v>
      </c>
      <c r="M19" s="60">
        <v>35.799999999999997</v>
      </c>
      <c r="N19" s="60">
        <v>35.799999999999997</v>
      </c>
      <c r="O19" s="60">
        <v>17.899999999999999</v>
      </c>
      <c r="P19" s="60">
        <v>0</v>
      </c>
      <c r="Q19" s="60">
        <v>161.1</v>
      </c>
      <c r="R19" s="60">
        <v>2392.33</v>
      </c>
      <c r="S19" s="60">
        <v>2252.96</v>
      </c>
      <c r="T19" s="60">
        <f t="shared" si="2"/>
        <v>7000.0000000000009</v>
      </c>
      <c r="U19" s="21" t="str">
        <f t="shared" si="3"/>
        <v/>
      </c>
    </row>
    <row r="20" spans="1:22" x14ac:dyDescent="0.2">
      <c r="A20" s="24"/>
      <c r="B20" s="24"/>
      <c r="C20" s="24"/>
      <c r="D20" s="24"/>
      <c r="E20" s="24" t="s">
        <v>17</v>
      </c>
      <c r="F20" s="24"/>
      <c r="G20" s="30">
        <f>ROUND(SUM(G14:G19),5)</f>
        <v>324500</v>
      </c>
    </row>
    <row r="21" spans="1:22" x14ac:dyDescent="0.2">
      <c r="A21" s="24"/>
      <c r="B21" s="24"/>
      <c r="C21" s="24"/>
      <c r="D21" s="24"/>
      <c r="E21" s="24" t="s">
        <v>18</v>
      </c>
      <c r="F21" s="24"/>
      <c r="G21" s="8"/>
    </row>
    <row r="22" spans="1:22" x14ac:dyDescent="0.2">
      <c r="A22" s="24"/>
      <c r="B22" s="24"/>
      <c r="C22" s="24"/>
      <c r="D22" s="24"/>
      <c r="E22" s="24"/>
      <c r="F22" s="24" t="s">
        <v>19</v>
      </c>
      <c r="G22" s="47">
        <v>286000</v>
      </c>
      <c r="H22" s="60">
        <v>35114.53</v>
      </c>
      <c r="I22" s="60">
        <v>209925.89</v>
      </c>
      <c r="J22" s="60">
        <v>32239.53</v>
      </c>
      <c r="K22" s="60">
        <v>8048.96</v>
      </c>
      <c r="L22" s="60">
        <v>671.09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f t="shared" ref="T22:T24" si="4">SUM(H22:S22)</f>
        <v>286000.00000000006</v>
      </c>
      <c r="U22" s="21" t="str">
        <f t="shared" ref="U22:U24" si="5">IF(T22=G22,"","STOP")</f>
        <v/>
      </c>
      <c r="V22" s="61"/>
    </row>
    <row r="23" spans="1:22" x14ac:dyDescent="0.2">
      <c r="A23" s="24"/>
      <c r="B23" s="24"/>
      <c r="C23" s="24"/>
      <c r="D23" s="24"/>
      <c r="E23" s="24"/>
      <c r="F23" s="24" t="s">
        <v>20</v>
      </c>
      <c r="G23" s="47">
        <v>327000</v>
      </c>
      <c r="H23" s="60">
        <v>286.64999999999998</v>
      </c>
      <c r="I23" s="60">
        <v>28860.28</v>
      </c>
      <c r="J23" s="60">
        <v>56520.31</v>
      </c>
      <c r="K23" s="60">
        <v>106971.75</v>
      </c>
      <c r="L23" s="60">
        <v>88601.64</v>
      </c>
      <c r="M23" s="60">
        <v>37764.449999999997</v>
      </c>
      <c r="N23" s="60">
        <v>6866.51</v>
      </c>
      <c r="O23" s="60">
        <v>363.12</v>
      </c>
      <c r="P23" s="60">
        <v>185.81</v>
      </c>
      <c r="Q23" s="60">
        <v>57.47</v>
      </c>
      <c r="R23" s="60">
        <v>363.48</v>
      </c>
      <c r="S23" s="60">
        <v>158.53</v>
      </c>
      <c r="T23" s="60">
        <f t="shared" si="4"/>
        <v>327000</v>
      </c>
      <c r="U23" s="21" t="str">
        <f t="shared" si="5"/>
        <v/>
      </c>
    </row>
    <row r="24" spans="1:22" ht="10.8" thickBot="1" x14ac:dyDescent="0.25">
      <c r="A24" s="24"/>
      <c r="B24" s="24"/>
      <c r="C24" s="24"/>
      <c r="D24" s="24"/>
      <c r="E24" s="24"/>
      <c r="F24" s="24" t="s">
        <v>21</v>
      </c>
      <c r="G24" s="39">
        <v>257000</v>
      </c>
      <c r="H24" s="60">
        <v>142.84</v>
      </c>
      <c r="I24" s="60">
        <v>16166.89</v>
      </c>
      <c r="J24" s="60">
        <v>38611.82</v>
      </c>
      <c r="K24" s="60">
        <v>63665.41</v>
      </c>
      <c r="L24" s="60">
        <v>81144.240000000005</v>
      </c>
      <c r="M24" s="60">
        <v>34674.910000000003</v>
      </c>
      <c r="N24" s="60">
        <v>11534.52</v>
      </c>
      <c r="O24" s="60">
        <v>5889.51</v>
      </c>
      <c r="P24" s="60">
        <v>5012.1499999999996</v>
      </c>
      <c r="Q24" s="60">
        <v>44.75</v>
      </c>
      <c r="R24" s="60">
        <v>13.45</v>
      </c>
      <c r="S24" s="60">
        <v>99.51</v>
      </c>
      <c r="T24" s="60">
        <f t="shared" si="4"/>
        <v>257000.00000000003</v>
      </c>
      <c r="U24" s="21" t="str">
        <f t="shared" si="5"/>
        <v/>
      </c>
    </row>
    <row r="25" spans="1:22" x14ac:dyDescent="0.2">
      <c r="A25" s="24"/>
      <c r="B25" s="24"/>
      <c r="C25" s="24"/>
      <c r="D25" s="24"/>
      <c r="E25" s="24" t="s">
        <v>22</v>
      </c>
      <c r="F25" s="24"/>
      <c r="G25" s="30">
        <f>ROUND(SUM(G21:G24),5)</f>
        <v>870000</v>
      </c>
    </row>
    <row r="26" spans="1:22" x14ac:dyDescent="0.2">
      <c r="A26" s="24"/>
      <c r="B26" s="24"/>
      <c r="C26" s="24"/>
      <c r="D26" s="24"/>
      <c r="E26" s="24" t="s">
        <v>23</v>
      </c>
      <c r="F26" s="24"/>
      <c r="G26" s="8"/>
    </row>
    <row r="27" spans="1:22" x14ac:dyDescent="0.2">
      <c r="A27" s="24"/>
      <c r="B27" s="24"/>
      <c r="C27" s="24"/>
      <c r="D27" s="24"/>
      <c r="E27" s="24"/>
      <c r="F27" s="24" t="s">
        <v>24</v>
      </c>
      <c r="G27" s="46">
        <v>360000</v>
      </c>
      <c r="H27" s="60">
        <v>22282</v>
      </c>
      <c r="I27" s="60">
        <v>34466.080000000002</v>
      </c>
      <c r="J27" s="60">
        <v>15574.91</v>
      </c>
      <c r="K27" s="60">
        <v>22175.56</v>
      </c>
      <c r="L27" s="60">
        <v>14665.38</v>
      </c>
      <c r="M27" s="60">
        <v>18549.310000000001</v>
      </c>
      <c r="N27" s="60">
        <v>62393.16</v>
      </c>
      <c r="O27" s="60">
        <v>24415.54</v>
      </c>
      <c r="P27" s="60">
        <v>28565.55</v>
      </c>
      <c r="Q27" s="60">
        <v>27239.47</v>
      </c>
      <c r="R27" s="60">
        <v>31417.67</v>
      </c>
      <c r="S27" s="60">
        <v>58255.37</v>
      </c>
      <c r="T27" s="60">
        <f t="shared" ref="T27:T29" si="6">SUM(H27:S27)</f>
        <v>360000</v>
      </c>
      <c r="U27" s="21" t="str">
        <f t="shared" ref="U27:U29" si="7">IF(T27=G27,"","STOP")</f>
        <v/>
      </c>
    </row>
    <row r="28" spans="1:22" x14ac:dyDescent="0.2">
      <c r="A28" s="24"/>
      <c r="B28" s="24"/>
      <c r="C28" s="24"/>
      <c r="D28" s="24"/>
      <c r="E28" s="24"/>
      <c r="F28" s="24" t="s">
        <v>25</v>
      </c>
      <c r="G28" s="47">
        <v>19000</v>
      </c>
      <c r="H28" s="60">
        <v>429.05</v>
      </c>
      <c r="I28" s="60">
        <v>1333.97</v>
      </c>
      <c r="J28" s="60">
        <v>4199.6000000000004</v>
      </c>
      <c r="K28" s="60">
        <v>4604.3500000000004</v>
      </c>
      <c r="L28" s="60">
        <v>4541.0600000000004</v>
      </c>
      <c r="M28" s="60">
        <v>1932.61</v>
      </c>
      <c r="N28" s="60">
        <v>788.74</v>
      </c>
      <c r="O28" s="60">
        <v>296.16000000000003</v>
      </c>
      <c r="P28" s="60">
        <v>36.700000000000003</v>
      </c>
      <c r="Q28" s="60">
        <v>-20.25</v>
      </c>
      <c r="R28" s="60">
        <v>151.29</v>
      </c>
      <c r="S28" s="60">
        <v>706.72</v>
      </c>
      <c r="T28" s="60">
        <f t="shared" si="6"/>
        <v>19000.000000000007</v>
      </c>
      <c r="U28" s="21" t="str">
        <f t="shared" si="7"/>
        <v/>
      </c>
    </row>
    <row r="29" spans="1:22" ht="10.8" thickBot="1" x14ac:dyDescent="0.25">
      <c r="A29" s="24"/>
      <c r="B29" s="24"/>
      <c r="C29" s="24"/>
      <c r="D29" s="24"/>
      <c r="E29" s="24"/>
      <c r="F29" s="24" t="s">
        <v>26</v>
      </c>
      <c r="G29" s="48">
        <v>28000</v>
      </c>
      <c r="H29" s="60">
        <v>1488.6</v>
      </c>
      <c r="I29" s="60">
        <v>4581.97</v>
      </c>
      <c r="J29" s="60">
        <v>5031.91</v>
      </c>
      <c r="K29" s="60">
        <v>5796.51</v>
      </c>
      <c r="L29" s="60">
        <v>4416.32</v>
      </c>
      <c r="M29" s="60">
        <v>3139.42</v>
      </c>
      <c r="N29" s="60">
        <v>1993.05</v>
      </c>
      <c r="O29" s="60">
        <v>499.68</v>
      </c>
      <c r="P29" s="60">
        <v>152.76</v>
      </c>
      <c r="Q29" s="60">
        <v>142.85</v>
      </c>
      <c r="R29" s="60">
        <v>196.13</v>
      </c>
      <c r="S29" s="60">
        <v>560.79999999999995</v>
      </c>
      <c r="T29" s="60">
        <f t="shared" si="6"/>
        <v>27999.999999999993</v>
      </c>
      <c r="U29" s="21" t="str">
        <f t="shared" si="7"/>
        <v/>
      </c>
    </row>
    <row r="30" spans="1:22" ht="10.8" thickBot="1" x14ac:dyDescent="0.25">
      <c r="A30" s="24"/>
      <c r="B30" s="24"/>
      <c r="C30" s="24"/>
      <c r="D30" s="24"/>
      <c r="E30" s="24" t="s">
        <v>27</v>
      </c>
      <c r="F30" s="24"/>
      <c r="G30" s="37">
        <f>ROUND(SUM(G26:G29),5)</f>
        <v>407000</v>
      </c>
    </row>
    <row r="31" spans="1:22" x14ac:dyDescent="0.2">
      <c r="A31" s="24"/>
      <c r="B31" s="24"/>
      <c r="C31" s="24"/>
      <c r="D31" s="24" t="s">
        <v>28</v>
      </c>
      <c r="E31" s="24"/>
      <c r="F31" s="24"/>
      <c r="G31" s="31">
        <f>ROUND(G13+G20+G25+G30,5)</f>
        <v>1601500</v>
      </c>
    </row>
    <row r="32" spans="1:22" x14ac:dyDescent="0.2">
      <c r="A32" s="24"/>
      <c r="B32" s="24"/>
      <c r="C32" s="24"/>
      <c r="D32" s="24" t="s">
        <v>29</v>
      </c>
      <c r="E32" s="24"/>
      <c r="F32" s="24"/>
      <c r="G32" s="8"/>
    </row>
    <row r="33" spans="1:21" x14ac:dyDescent="0.2">
      <c r="A33" s="24"/>
      <c r="B33" s="24"/>
      <c r="C33" s="24"/>
      <c r="D33" s="24"/>
      <c r="E33" s="24" t="s">
        <v>30</v>
      </c>
      <c r="F33" s="24"/>
      <c r="G33" s="8"/>
    </row>
    <row r="34" spans="1:21" x14ac:dyDescent="0.2">
      <c r="A34" s="24"/>
      <c r="B34" s="24"/>
      <c r="C34" s="24"/>
      <c r="D34" s="24"/>
      <c r="E34" s="24"/>
      <c r="F34" s="56" t="s">
        <v>31</v>
      </c>
      <c r="G34" s="46">
        <v>246000</v>
      </c>
      <c r="H34" s="60">
        <v>136.72999999999999</v>
      </c>
      <c r="I34" s="60">
        <v>15474.92</v>
      </c>
      <c r="J34" s="60">
        <v>36959.18</v>
      </c>
      <c r="K34" s="60">
        <v>60940.43</v>
      </c>
      <c r="L34" s="60">
        <v>77671.14</v>
      </c>
      <c r="M34" s="60">
        <v>33190.769999999997</v>
      </c>
      <c r="N34" s="60">
        <v>11040.82</v>
      </c>
      <c r="O34" s="60">
        <v>5637.43</v>
      </c>
      <c r="P34" s="60">
        <v>4797.62</v>
      </c>
      <c r="Q34" s="60">
        <v>42.83</v>
      </c>
      <c r="R34" s="60">
        <v>12.87</v>
      </c>
      <c r="S34" s="60">
        <v>95.26</v>
      </c>
      <c r="T34" s="60">
        <f t="shared" ref="T34:T36" si="8">SUM(H34:S34)</f>
        <v>246000</v>
      </c>
      <c r="U34" s="21" t="str">
        <f t="shared" ref="U34:U36" si="9">IF(T34=G34,"","STOP")</f>
        <v/>
      </c>
    </row>
    <row r="35" spans="1:21" x14ac:dyDescent="0.2">
      <c r="A35" s="24"/>
      <c r="B35" s="24"/>
      <c r="C35" s="24"/>
      <c r="D35" s="24"/>
      <c r="E35" s="24"/>
      <c r="F35" s="24" t="s">
        <v>32</v>
      </c>
      <c r="G35" s="47">
        <v>20000</v>
      </c>
      <c r="H35" s="60">
        <v>4890.25</v>
      </c>
      <c r="I35" s="60">
        <v>2335.48</v>
      </c>
      <c r="J35" s="60">
        <v>2907.03</v>
      </c>
      <c r="K35" s="60">
        <v>920.42</v>
      </c>
      <c r="L35" s="60">
        <v>819.4</v>
      </c>
      <c r="M35" s="60">
        <v>1846.31</v>
      </c>
      <c r="N35" s="60">
        <v>1316.99</v>
      </c>
      <c r="O35" s="60">
        <v>1947.44</v>
      </c>
      <c r="P35" s="60">
        <v>315.86</v>
      </c>
      <c r="Q35" s="60">
        <v>764.69</v>
      </c>
      <c r="R35" s="60">
        <v>830.6</v>
      </c>
      <c r="S35" s="60">
        <v>1105.53</v>
      </c>
      <c r="T35" s="60">
        <f t="shared" si="8"/>
        <v>19999.999999999996</v>
      </c>
      <c r="U35" s="21" t="str">
        <f t="shared" si="9"/>
        <v/>
      </c>
    </row>
    <row r="36" spans="1:21" ht="10.8" thickBot="1" x14ac:dyDescent="0.25">
      <c r="A36" s="24"/>
      <c r="B36" s="24"/>
      <c r="C36" s="24"/>
      <c r="D36" s="24"/>
      <c r="E36" s="24"/>
      <c r="F36" s="56" t="s">
        <v>33</v>
      </c>
      <c r="G36" s="39">
        <v>1500</v>
      </c>
      <c r="H36" s="60">
        <v>0</v>
      </c>
      <c r="I36" s="60">
        <v>187.5</v>
      </c>
      <c r="J36" s="60">
        <f>+G36*0.25</f>
        <v>375</v>
      </c>
      <c r="K36" s="60">
        <f>0.25*G36</f>
        <v>375</v>
      </c>
      <c r="L36" s="60">
        <f>0.25*G36</f>
        <v>375</v>
      </c>
      <c r="M36" s="60">
        <v>187.5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f t="shared" si="8"/>
        <v>1500</v>
      </c>
      <c r="U36" s="21" t="str">
        <f t="shared" si="9"/>
        <v/>
      </c>
    </row>
    <row r="37" spans="1:21" x14ac:dyDescent="0.2">
      <c r="A37" s="24"/>
      <c r="B37" s="24"/>
      <c r="C37" s="24"/>
      <c r="D37" s="24"/>
      <c r="E37" s="24" t="s">
        <v>34</v>
      </c>
      <c r="F37" s="24"/>
      <c r="G37" s="30">
        <f>ROUND(SUM(G33:G36),5)</f>
        <v>267500</v>
      </c>
    </row>
    <row r="38" spans="1:21" x14ac:dyDescent="0.2">
      <c r="A38" s="24"/>
      <c r="B38" s="24"/>
      <c r="C38" s="24"/>
      <c r="D38" s="24"/>
      <c r="E38" s="24" t="s">
        <v>35</v>
      </c>
      <c r="F38" s="24"/>
      <c r="G38" s="8"/>
    </row>
    <row r="39" spans="1:21" x14ac:dyDescent="0.2">
      <c r="A39" s="24"/>
      <c r="B39" s="24"/>
      <c r="C39" s="24"/>
      <c r="D39" s="24"/>
      <c r="E39" s="24"/>
      <c r="F39" s="56" t="s">
        <v>36</v>
      </c>
      <c r="G39" s="47">
        <v>80000</v>
      </c>
      <c r="H39" s="60">
        <f>0.01*$G39</f>
        <v>800</v>
      </c>
      <c r="I39" s="60">
        <f>+$G39*0.09</f>
        <v>7200</v>
      </c>
      <c r="J39" s="60">
        <f>+G39*0.25</f>
        <v>20000</v>
      </c>
      <c r="K39" s="60">
        <f>0.25*G39</f>
        <v>20000</v>
      </c>
      <c r="L39" s="60">
        <f>0.25*G39</f>
        <v>20000</v>
      </c>
      <c r="M39" s="60">
        <f>+$G39*0.09</f>
        <v>7200</v>
      </c>
      <c r="N39" s="60">
        <f t="shared" ref="N39:S40" si="10">0.01*$G39</f>
        <v>800</v>
      </c>
      <c r="O39" s="60">
        <f t="shared" si="10"/>
        <v>800</v>
      </c>
      <c r="P39" s="60">
        <f t="shared" si="10"/>
        <v>800</v>
      </c>
      <c r="Q39" s="60">
        <f t="shared" si="10"/>
        <v>800</v>
      </c>
      <c r="R39" s="60">
        <f t="shared" si="10"/>
        <v>800</v>
      </c>
      <c r="S39" s="60">
        <f t="shared" si="10"/>
        <v>800</v>
      </c>
      <c r="T39" s="60">
        <f t="shared" ref="T39:T44" si="11">SUM(H39:S39)</f>
        <v>80000</v>
      </c>
      <c r="U39" s="21" t="str">
        <f t="shared" ref="U39:U44" si="12">IF(T39=G39,"","STOP")</f>
        <v/>
      </c>
    </row>
    <row r="40" spans="1:21" x14ac:dyDescent="0.2">
      <c r="A40" s="24"/>
      <c r="B40" s="24"/>
      <c r="C40" s="24"/>
      <c r="D40" s="24"/>
      <c r="E40" s="24"/>
      <c r="F40" s="56" t="s">
        <v>37</v>
      </c>
      <c r="G40" s="47">
        <v>15000</v>
      </c>
      <c r="H40" s="60">
        <f>0.01*$G40</f>
        <v>150</v>
      </c>
      <c r="I40" s="60">
        <f>+$G40*0.09</f>
        <v>1350</v>
      </c>
      <c r="J40" s="60">
        <f>+G40*0.25</f>
        <v>3750</v>
      </c>
      <c r="K40" s="60">
        <f>0.25*G40</f>
        <v>3750</v>
      </c>
      <c r="L40" s="60">
        <f>0.25*G40</f>
        <v>3750</v>
      </c>
      <c r="M40" s="60">
        <f>+$G40*0.09</f>
        <v>1350</v>
      </c>
      <c r="N40" s="60">
        <f t="shared" si="10"/>
        <v>150</v>
      </c>
      <c r="O40" s="60">
        <f t="shared" si="10"/>
        <v>150</v>
      </c>
      <c r="P40" s="60">
        <f t="shared" si="10"/>
        <v>150</v>
      </c>
      <c r="Q40" s="60">
        <f t="shared" si="10"/>
        <v>150</v>
      </c>
      <c r="R40" s="60">
        <f t="shared" si="10"/>
        <v>150</v>
      </c>
      <c r="S40" s="60">
        <f t="shared" si="10"/>
        <v>150</v>
      </c>
      <c r="T40" s="60">
        <f t="shared" si="11"/>
        <v>15000</v>
      </c>
      <c r="U40" s="21" t="str">
        <f t="shared" si="12"/>
        <v/>
      </c>
    </row>
    <row r="41" spans="1:21" x14ac:dyDescent="0.2">
      <c r="A41" s="24"/>
      <c r="B41" s="24"/>
      <c r="C41" s="24"/>
      <c r="D41" s="24"/>
      <c r="E41" s="24"/>
      <c r="F41" s="56" t="s">
        <v>38</v>
      </c>
      <c r="G41" s="47">
        <v>1000</v>
      </c>
      <c r="H41" s="60">
        <f t="shared" ref="H41:S44" si="13">+$G41/12</f>
        <v>83.333333333333329</v>
      </c>
      <c r="I41" s="60">
        <f t="shared" si="13"/>
        <v>83.333333333333329</v>
      </c>
      <c r="J41" s="60">
        <f t="shared" si="13"/>
        <v>83.333333333333329</v>
      </c>
      <c r="K41" s="60">
        <f t="shared" si="13"/>
        <v>83.333333333333329</v>
      </c>
      <c r="L41" s="60">
        <f t="shared" si="13"/>
        <v>83.333333333333329</v>
      </c>
      <c r="M41" s="60">
        <f t="shared" si="13"/>
        <v>83.333333333333329</v>
      </c>
      <c r="N41" s="60">
        <f t="shared" si="13"/>
        <v>83.333333333333329</v>
      </c>
      <c r="O41" s="60">
        <f t="shared" si="13"/>
        <v>83.333333333333329</v>
      </c>
      <c r="P41" s="60">
        <f t="shared" si="13"/>
        <v>83.333333333333329</v>
      </c>
      <c r="Q41" s="60">
        <f t="shared" si="13"/>
        <v>83.333333333333329</v>
      </c>
      <c r="R41" s="60">
        <f t="shared" si="13"/>
        <v>83.333333333333329</v>
      </c>
      <c r="S41" s="60">
        <f t="shared" si="13"/>
        <v>83.333333333333329</v>
      </c>
      <c r="T41" s="60">
        <f t="shared" si="11"/>
        <v>1000.0000000000001</v>
      </c>
      <c r="U41" s="21" t="str">
        <f t="shared" si="12"/>
        <v/>
      </c>
    </row>
    <row r="42" spans="1:21" x14ac:dyDescent="0.2">
      <c r="A42" s="24"/>
      <c r="B42" s="24"/>
      <c r="C42" s="24"/>
      <c r="D42" s="24"/>
      <c r="E42" s="24"/>
      <c r="F42" s="24" t="s">
        <v>39</v>
      </c>
      <c r="G42" s="47">
        <v>200</v>
      </c>
      <c r="H42" s="60">
        <f t="shared" si="13"/>
        <v>16.666666666666668</v>
      </c>
      <c r="I42" s="60">
        <f t="shared" si="13"/>
        <v>16.666666666666668</v>
      </c>
      <c r="J42" s="60">
        <f t="shared" si="13"/>
        <v>16.666666666666668</v>
      </c>
      <c r="K42" s="60">
        <f t="shared" si="13"/>
        <v>16.666666666666668</v>
      </c>
      <c r="L42" s="60">
        <f t="shared" si="13"/>
        <v>16.666666666666668</v>
      </c>
      <c r="M42" s="60">
        <f t="shared" si="13"/>
        <v>16.666666666666668</v>
      </c>
      <c r="N42" s="60">
        <f t="shared" si="13"/>
        <v>16.666666666666668</v>
      </c>
      <c r="O42" s="60">
        <f t="shared" si="13"/>
        <v>16.666666666666668</v>
      </c>
      <c r="P42" s="60">
        <f t="shared" si="13"/>
        <v>16.666666666666668</v>
      </c>
      <c r="Q42" s="60">
        <f t="shared" si="13"/>
        <v>16.666666666666668</v>
      </c>
      <c r="R42" s="60">
        <f t="shared" si="13"/>
        <v>16.666666666666668</v>
      </c>
      <c r="S42" s="60">
        <f t="shared" si="13"/>
        <v>16.666666666666668</v>
      </c>
      <c r="T42" s="60">
        <f t="shared" si="11"/>
        <v>199.99999999999997</v>
      </c>
      <c r="U42" s="21" t="str">
        <f t="shared" si="12"/>
        <v/>
      </c>
    </row>
    <row r="43" spans="1:21" x14ac:dyDescent="0.2">
      <c r="A43" s="24"/>
      <c r="B43" s="24"/>
      <c r="C43" s="24"/>
      <c r="D43" s="24"/>
      <c r="E43" s="24"/>
      <c r="F43" s="24" t="s">
        <v>278</v>
      </c>
      <c r="G43" s="47">
        <v>500</v>
      </c>
      <c r="H43" s="60">
        <f t="shared" si="13"/>
        <v>41.666666666666664</v>
      </c>
      <c r="I43" s="60">
        <f t="shared" si="13"/>
        <v>41.666666666666664</v>
      </c>
      <c r="J43" s="60">
        <f t="shared" si="13"/>
        <v>41.666666666666664</v>
      </c>
      <c r="K43" s="60">
        <f t="shared" si="13"/>
        <v>41.666666666666664</v>
      </c>
      <c r="L43" s="60">
        <f t="shared" si="13"/>
        <v>41.666666666666664</v>
      </c>
      <c r="M43" s="60">
        <f t="shared" si="13"/>
        <v>41.666666666666664</v>
      </c>
      <c r="N43" s="60">
        <f t="shared" si="13"/>
        <v>41.666666666666664</v>
      </c>
      <c r="O43" s="60">
        <f t="shared" si="13"/>
        <v>41.666666666666664</v>
      </c>
      <c r="P43" s="60">
        <f t="shared" si="13"/>
        <v>41.666666666666664</v>
      </c>
      <c r="Q43" s="60">
        <f t="shared" si="13"/>
        <v>41.666666666666664</v>
      </c>
      <c r="R43" s="60">
        <f t="shared" si="13"/>
        <v>41.666666666666664</v>
      </c>
      <c r="S43" s="60">
        <f t="shared" si="13"/>
        <v>41.666666666666664</v>
      </c>
      <c r="T43" s="60">
        <f t="shared" si="11"/>
        <v>500.00000000000006</v>
      </c>
      <c r="U43" s="21" t="str">
        <f t="shared" si="12"/>
        <v/>
      </c>
    </row>
    <row r="44" spans="1:21" ht="10.8" thickBot="1" x14ac:dyDescent="0.25">
      <c r="A44" s="24"/>
      <c r="B44" s="24"/>
      <c r="C44" s="24"/>
      <c r="D44" s="24"/>
      <c r="E44" s="24"/>
      <c r="F44" s="24" t="s">
        <v>40</v>
      </c>
      <c r="G44" s="47">
        <v>3000</v>
      </c>
      <c r="H44" s="60">
        <f t="shared" si="13"/>
        <v>250</v>
      </c>
      <c r="I44" s="60">
        <f t="shared" si="13"/>
        <v>250</v>
      </c>
      <c r="J44" s="60">
        <f t="shared" si="13"/>
        <v>250</v>
      </c>
      <c r="K44" s="60">
        <f t="shared" si="13"/>
        <v>250</v>
      </c>
      <c r="L44" s="60">
        <f t="shared" si="13"/>
        <v>250</v>
      </c>
      <c r="M44" s="60">
        <f t="shared" si="13"/>
        <v>250</v>
      </c>
      <c r="N44" s="60">
        <f t="shared" si="13"/>
        <v>250</v>
      </c>
      <c r="O44" s="60">
        <f t="shared" si="13"/>
        <v>250</v>
      </c>
      <c r="P44" s="60">
        <f t="shared" si="13"/>
        <v>250</v>
      </c>
      <c r="Q44" s="60">
        <f t="shared" si="13"/>
        <v>250</v>
      </c>
      <c r="R44" s="60">
        <f t="shared" si="13"/>
        <v>250</v>
      </c>
      <c r="S44" s="60">
        <f t="shared" si="13"/>
        <v>250</v>
      </c>
      <c r="T44" s="60">
        <f t="shared" si="11"/>
        <v>3000</v>
      </c>
      <c r="U44" s="21" t="str">
        <f t="shared" si="12"/>
        <v/>
      </c>
    </row>
    <row r="45" spans="1:21" ht="10.8" thickBot="1" x14ac:dyDescent="0.25">
      <c r="A45" s="24"/>
      <c r="B45" s="24"/>
      <c r="C45" s="24"/>
      <c r="D45" s="24"/>
      <c r="E45" s="24" t="s">
        <v>41</v>
      </c>
      <c r="F45" s="24"/>
      <c r="G45" s="37">
        <f>ROUND(SUM(G38:G44),5)</f>
        <v>99700</v>
      </c>
    </row>
    <row r="46" spans="1:21" x14ac:dyDescent="0.2">
      <c r="A46" s="24"/>
      <c r="B46" s="24"/>
      <c r="C46" s="24"/>
      <c r="D46" s="24" t="s">
        <v>42</v>
      </c>
      <c r="E46" s="24"/>
      <c r="F46" s="24"/>
      <c r="G46" s="31">
        <f>ROUND(G32+G37+G45,5)</f>
        <v>367200</v>
      </c>
    </row>
    <row r="47" spans="1:21" x14ac:dyDescent="0.2">
      <c r="A47" s="24"/>
      <c r="B47" s="24"/>
      <c r="C47" s="24"/>
      <c r="E47" s="24" t="s">
        <v>43</v>
      </c>
      <c r="F47" s="24"/>
      <c r="G47" s="8"/>
    </row>
    <row r="48" spans="1:21" x14ac:dyDescent="0.2">
      <c r="A48" s="24"/>
      <c r="B48" s="24"/>
      <c r="C48" s="24"/>
      <c r="E48" s="24"/>
      <c r="F48" s="56" t="s">
        <v>44</v>
      </c>
      <c r="G48" s="47">
        <v>3000</v>
      </c>
      <c r="H48" s="60">
        <f t="shared" ref="H48:S50" si="14">+$G48/12</f>
        <v>250</v>
      </c>
      <c r="I48" s="60">
        <f t="shared" si="14"/>
        <v>250</v>
      </c>
      <c r="J48" s="60">
        <f t="shared" si="14"/>
        <v>250</v>
      </c>
      <c r="K48" s="60">
        <f t="shared" si="14"/>
        <v>250</v>
      </c>
      <c r="L48" s="60">
        <f t="shared" si="14"/>
        <v>250</v>
      </c>
      <c r="M48" s="60">
        <f t="shared" si="14"/>
        <v>250</v>
      </c>
      <c r="N48" s="60">
        <f t="shared" si="14"/>
        <v>250</v>
      </c>
      <c r="O48" s="60">
        <f t="shared" si="14"/>
        <v>250</v>
      </c>
      <c r="P48" s="60">
        <f t="shared" si="14"/>
        <v>250</v>
      </c>
      <c r="Q48" s="60">
        <f t="shared" si="14"/>
        <v>250</v>
      </c>
      <c r="R48" s="60">
        <f t="shared" si="14"/>
        <v>250</v>
      </c>
      <c r="S48" s="60">
        <f t="shared" si="14"/>
        <v>250</v>
      </c>
      <c r="T48" s="60">
        <f t="shared" ref="T48:T58" si="15">SUM(H48:S48)</f>
        <v>3000</v>
      </c>
      <c r="U48" s="21" t="str">
        <f t="shared" ref="U48:U58" si="16">IF(T48=G48,"","STOP")</f>
        <v/>
      </c>
    </row>
    <row r="49" spans="1:21" x14ac:dyDescent="0.2">
      <c r="A49" s="24"/>
      <c r="B49" s="24"/>
      <c r="C49" s="24"/>
      <c r="E49" s="24"/>
      <c r="F49" s="24" t="s">
        <v>45</v>
      </c>
      <c r="G49" s="47">
        <v>5000</v>
      </c>
      <c r="H49" s="60">
        <f t="shared" si="14"/>
        <v>416.66666666666669</v>
      </c>
      <c r="I49" s="60">
        <f t="shared" si="14"/>
        <v>416.66666666666669</v>
      </c>
      <c r="J49" s="60">
        <f t="shared" si="14"/>
        <v>416.66666666666669</v>
      </c>
      <c r="K49" s="60">
        <f t="shared" si="14"/>
        <v>416.66666666666669</v>
      </c>
      <c r="L49" s="60">
        <f t="shared" si="14"/>
        <v>416.66666666666669</v>
      </c>
      <c r="M49" s="60">
        <f t="shared" si="14"/>
        <v>416.66666666666669</v>
      </c>
      <c r="N49" s="60">
        <f t="shared" si="14"/>
        <v>416.66666666666669</v>
      </c>
      <c r="O49" s="60">
        <f t="shared" si="14"/>
        <v>416.66666666666669</v>
      </c>
      <c r="P49" s="60">
        <f t="shared" si="14"/>
        <v>416.66666666666669</v>
      </c>
      <c r="Q49" s="60">
        <f t="shared" si="14"/>
        <v>416.66666666666669</v>
      </c>
      <c r="R49" s="60">
        <f t="shared" si="14"/>
        <v>416.66666666666669</v>
      </c>
      <c r="S49" s="60">
        <f t="shared" si="14"/>
        <v>416.66666666666669</v>
      </c>
      <c r="T49" s="60">
        <f t="shared" si="15"/>
        <v>5000</v>
      </c>
      <c r="U49" s="21" t="str">
        <f t="shared" si="16"/>
        <v/>
      </c>
    </row>
    <row r="50" spans="1:21" x14ac:dyDescent="0.2">
      <c r="A50" s="24"/>
      <c r="B50" s="24"/>
      <c r="C50" s="24"/>
      <c r="E50" s="24"/>
      <c r="F50" s="24" t="s">
        <v>46</v>
      </c>
      <c r="G50" s="46">
        <v>20000</v>
      </c>
      <c r="H50" s="60">
        <f t="shared" si="14"/>
        <v>1666.6666666666667</v>
      </c>
      <c r="I50" s="60">
        <f t="shared" si="14"/>
        <v>1666.6666666666667</v>
      </c>
      <c r="J50" s="60">
        <f t="shared" si="14"/>
        <v>1666.6666666666667</v>
      </c>
      <c r="K50" s="60">
        <f t="shared" si="14"/>
        <v>1666.6666666666667</v>
      </c>
      <c r="L50" s="60">
        <f t="shared" si="14"/>
        <v>1666.6666666666667</v>
      </c>
      <c r="M50" s="60">
        <f t="shared" si="14"/>
        <v>1666.6666666666667</v>
      </c>
      <c r="N50" s="60">
        <f t="shared" si="14"/>
        <v>1666.6666666666667</v>
      </c>
      <c r="O50" s="60">
        <f t="shared" si="14"/>
        <v>1666.6666666666667</v>
      </c>
      <c r="P50" s="60">
        <f t="shared" si="14"/>
        <v>1666.6666666666667</v>
      </c>
      <c r="Q50" s="60">
        <f t="shared" si="14"/>
        <v>1666.6666666666667</v>
      </c>
      <c r="R50" s="60">
        <f t="shared" si="14"/>
        <v>1666.6666666666667</v>
      </c>
      <c r="S50" s="60">
        <f t="shared" si="14"/>
        <v>1666.6666666666667</v>
      </c>
      <c r="T50" s="60">
        <f t="shared" si="15"/>
        <v>20000</v>
      </c>
      <c r="U50" s="21" t="str">
        <f t="shared" si="16"/>
        <v/>
      </c>
    </row>
    <row r="51" spans="1:21" x14ac:dyDescent="0.2">
      <c r="A51" s="24"/>
      <c r="B51" s="24"/>
      <c r="C51" s="24"/>
      <c r="E51" s="24"/>
      <c r="F51" s="24" t="s">
        <v>47</v>
      </c>
      <c r="G51" s="47">
        <v>0</v>
      </c>
      <c r="T51" s="60">
        <f t="shared" si="15"/>
        <v>0</v>
      </c>
      <c r="U51" s="21" t="str">
        <f t="shared" si="16"/>
        <v/>
      </c>
    </row>
    <row r="52" spans="1:21" x14ac:dyDescent="0.2">
      <c r="A52" s="24"/>
      <c r="B52" s="24"/>
      <c r="C52" s="24"/>
      <c r="E52" s="24"/>
      <c r="F52" s="24" t="s">
        <v>294</v>
      </c>
      <c r="G52" s="47"/>
      <c r="T52" s="60">
        <f t="shared" si="15"/>
        <v>0</v>
      </c>
      <c r="U52" s="21" t="str">
        <f t="shared" si="16"/>
        <v/>
      </c>
    </row>
    <row r="53" spans="1:21" x14ac:dyDescent="0.2">
      <c r="A53" s="24"/>
      <c r="B53" s="24"/>
      <c r="C53" s="24"/>
      <c r="E53" s="24"/>
      <c r="F53" s="24" t="s">
        <v>48</v>
      </c>
      <c r="G53" s="47">
        <v>0</v>
      </c>
      <c r="T53" s="60">
        <f t="shared" si="15"/>
        <v>0</v>
      </c>
      <c r="U53" s="21" t="str">
        <f t="shared" si="16"/>
        <v/>
      </c>
    </row>
    <row r="54" spans="1:21" x14ac:dyDescent="0.2">
      <c r="A54" s="24"/>
      <c r="B54" s="24"/>
      <c r="C54" s="24"/>
      <c r="E54" s="24"/>
      <c r="F54" s="24" t="s">
        <v>49</v>
      </c>
      <c r="G54" s="47">
        <v>900</v>
      </c>
      <c r="H54" s="60">
        <f t="shared" ref="H54:S57" si="17">+$G54/12</f>
        <v>75</v>
      </c>
      <c r="I54" s="60">
        <f t="shared" si="17"/>
        <v>75</v>
      </c>
      <c r="J54" s="60">
        <f t="shared" si="17"/>
        <v>75</v>
      </c>
      <c r="K54" s="60">
        <f t="shared" si="17"/>
        <v>75</v>
      </c>
      <c r="L54" s="60">
        <f t="shared" si="17"/>
        <v>75</v>
      </c>
      <c r="M54" s="60">
        <f t="shared" si="17"/>
        <v>75</v>
      </c>
      <c r="N54" s="60">
        <f t="shared" si="17"/>
        <v>75</v>
      </c>
      <c r="O54" s="60">
        <f t="shared" si="17"/>
        <v>75</v>
      </c>
      <c r="P54" s="60">
        <f t="shared" si="17"/>
        <v>75</v>
      </c>
      <c r="Q54" s="60">
        <f t="shared" si="17"/>
        <v>75</v>
      </c>
      <c r="R54" s="60">
        <f t="shared" si="17"/>
        <v>75</v>
      </c>
      <c r="S54" s="60">
        <f t="shared" si="17"/>
        <v>75</v>
      </c>
      <c r="T54" s="60">
        <f t="shared" si="15"/>
        <v>900</v>
      </c>
      <c r="U54" s="21" t="str">
        <f t="shared" si="16"/>
        <v/>
      </c>
    </row>
    <row r="55" spans="1:21" x14ac:dyDescent="0.2">
      <c r="A55" s="24"/>
      <c r="B55" s="24"/>
      <c r="C55" s="24"/>
      <c r="E55" s="24"/>
      <c r="F55" s="24" t="s">
        <v>313</v>
      </c>
      <c r="G55" s="47">
        <v>35000</v>
      </c>
      <c r="H55" s="60">
        <f t="shared" si="17"/>
        <v>2916.6666666666665</v>
      </c>
      <c r="I55" s="60">
        <f t="shared" si="17"/>
        <v>2916.6666666666665</v>
      </c>
      <c r="J55" s="60">
        <f t="shared" si="17"/>
        <v>2916.6666666666665</v>
      </c>
      <c r="K55" s="60">
        <f t="shared" si="17"/>
        <v>2916.6666666666665</v>
      </c>
      <c r="L55" s="60">
        <f t="shared" si="17"/>
        <v>2916.6666666666665</v>
      </c>
      <c r="M55" s="60">
        <f t="shared" si="17"/>
        <v>2916.6666666666665</v>
      </c>
      <c r="N55" s="60">
        <f t="shared" si="17"/>
        <v>2916.6666666666665</v>
      </c>
      <c r="O55" s="60">
        <f t="shared" si="17"/>
        <v>2916.6666666666665</v>
      </c>
      <c r="P55" s="60">
        <f t="shared" si="17"/>
        <v>2916.6666666666665</v>
      </c>
      <c r="Q55" s="60">
        <f t="shared" si="17"/>
        <v>2916.6666666666665</v>
      </c>
      <c r="R55" s="60">
        <f t="shared" si="17"/>
        <v>2916.6666666666665</v>
      </c>
      <c r="S55" s="60">
        <f t="shared" si="17"/>
        <v>2916.6666666666665</v>
      </c>
      <c r="T55" s="60">
        <f t="shared" si="15"/>
        <v>35000.000000000007</v>
      </c>
      <c r="U55" s="21" t="str">
        <f t="shared" si="16"/>
        <v/>
      </c>
    </row>
    <row r="56" spans="1:21" x14ac:dyDescent="0.2">
      <c r="A56" s="24"/>
      <c r="B56" s="24"/>
      <c r="C56" s="24"/>
      <c r="E56" s="24"/>
      <c r="F56" s="24" t="s">
        <v>50</v>
      </c>
      <c r="G56" s="47">
        <v>35500</v>
      </c>
      <c r="H56" s="60">
        <f t="shared" si="17"/>
        <v>2958.3333333333335</v>
      </c>
      <c r="I56" s="60">
        <f t="shared" si="17"/>
        <v>2958.3333333333335</v>
      </c>
      <c r="J56" s="60">
        <f t="shared" si="17"/>
        <v>2958.3333333333335</v>
      </c>
      <c r="K56" s="60">
        <f t="shared" si="17"/>
        <v>2958.3333333333335</v>
      </c>
      <c r="L56" s="60">
        <f t="shared" si="17"/>
        <v>2958.3333333333335</v>
      </c>
      <c r="M56" s="60">
        <f t="shared" si="17"/>
        <v>2958.3333333333335</v>
      </c>
      <c r="N56" s="60">
        <f t="shared" si="17"/>
        <v>2958.3333333333335</v>
      </c>
      <c r="O56" s="60">
        <f t="shared" si="17"/>
        <v>2958.3333333333335</v>
      </c>
      <c r="P56" s="60">
        <f t="shared" si="17"/>
        <v>2958.3333333333335</v>
      </c>
      <c r="Q56" s="60">
        <f t="shared" si="17"/>
        <v>2958.3333333333335</v>
      </c>
      <c r="R56" s="60">
        <f t="shared" si="17"/>
        <v>2958.3333333333335</v>
      </c>
      <c r="S56" s="60">
        <f t="shared" si="17"/>
        <v>2958.3333333333335</v>
      </c>
      <c r="T56" s="60">
        <f t="shared" si="15"/>
        <v>35499.999999999993</v>
      </c>
      <c r="U56" s="21" t="str">
        <f t="shared" si="16"/>
        <v/>
      </c>
    </row>
    <row r="57" spans="1:21" x14ac:dyDescent="0.2">
      <c r="A57" s="24"/>
      <c r="B57" s="24"/>
      <c r="C57" s="24"/>
      <c r="E57" s="24"/>
      <c r="F57" s="24" t="s">
        <v>51</v>
      </c>
      <c r="G57" s="47">
        <v>5000</v>
      </c>
      <c r="H57" s="60">
        <f t="shared" si="17"/>
        <v>416.66666666666669</v>
      </c>
      <c r="I57" s="60">
        <f t="shared" si="17"/>
        <v>416.66666666666669</v>
      </c>
      <c r="J57" s="60">
        <f t="shared" si="17"/>
        <v>416.66666666666669</v>
      </c>
      <c r="K57" s="60">
        <f t="shared" si="17"/>
        <v>416.66666666666669</v>
      </c>
      <c r="L57" s="60">
        <f t="shared" si="17"/>
        <v>416.66666666666669</v>
      </c>
      <c r="M57" s="60">
        <f t="shared" si="17"/>
        <v>416.66666666666669</v>
      </c>
      <c r="N57" s="60">
        <f t="shared" si="17"/>
        <v>416.66666666666669</v>
      </c>
      <c r="O57" s="60">
        <f t="shared" si="17"/>
        <v>416.66666666666669</v>
      </c>
      <c r="P57" s="60">
        <f t="shared" si="17"/>
        <v>416.66666666666669</v>
      </c>
      <c r="Q57" s="60">
        <f t="shared" si="17"/>
        <v>416.66666666666669</v>
      </c>
      <c r="R57" s="60">
        <f t="shared" si="17"/>
        <v>416.66666666666669</v>
      </c>
      <c r="S57" s="60">
        <f t="shared" si="17"/>
        <v>416.66666666666669</v>
      </c>
      <c r="T57" s="60">
        <f t="shared" si="15"/>
        <v>5000</v>
      </c>
      <c r="U57" s="21" t="str">
        <f t="shared" si="16"/>
        <v/>
      </c>
    </row>
    <row r="58" spans="1:21" ht="10.8" thickBot="1" x14ac:dyDescent="0.25">
      <c r="A58" s="24"/>
      <c r="B58" s="24"/>
      <c r="C58" s="24"/>
      <c r="E58" s="24"/>
      <c r="F58" s="24" t="s">
        <v>52</v>
      </c>
      <c r="G58" s="42">
        <v>12500</v>
      </c>
      <c r="H58" s="60">
        <v>0</v>
      </c>
      <c r="I58" s="60">
        <v>0</v>
      </c>
      <c r="J58" s="60">
        <v>12500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f t="shared" si="15"/>
        <v>12500</v>
      </c>
      <c r="U58" s="21" t="str">
        <f t="shared" si="16"/>
        <v/>
      </c>
    </row>
    <row r="59" spans="1:21" x14ac:dyDescent="0.2">
      <c r="A59" s="24"/>
      <c r="B59" s="24"/>
      <c r="C59" s="24"/>
      <c r="E59" s="24" t="s">
        <v>53</v>
      </c>
      <c r="F59" s="24"/>
      <c r="G59" s="30">
        <f>ROUND(SUM(G47:G58),5)</f>
        <v>116900</v>
      </c>
    </row>
    <row r="60" spans="1:21" x14ac:dyDescent="0.2">
      <c r="A60" s="24"/>
      <c r="B60" s="24"/>
      <c r="C60" s="24"/>
      <c r="E60" s="24" t="s">
        <v>54</v>
      </c>
      <c r="F60" s="24"/>
      <c r="G60" s="8"/>
    </row>
    <row r="61" spans="1:21" x14ac:dyDescent="0.2">
      <c r="A61" s="24"/>
      <c r="B61" s="24"/>
      <c r="C61" s="24"/>
      <c r="E61" s="24"/>
      <c r="F61" s="24" t="s">
        <v>279</v>
      </c>
      <c r="G61" s="46">
        <v>5500</v>
      </c>
      <c r="H61" s="60">
        <f t="shared" ref="H61:S61" si="18">+$G61/12</f>
        <v>458.33333333333331</v>
      </c>
      <c r="I61" s="60">
        <f t="shared" si="18"/>
        <v>458.33333333333331</v>
      </c>
      <c r="J61" s="60">
        <f t="shared" si="18"/>
        <v>458.33333333333331</v>
      </c>
      <c r="K61" s="60">
        <f t="shared" si="18"/>
        <v>458.33333333333331</v>
      </c>
      <c r="L61" s="60">
        <f t="shared" si="18"/>
        <v>458.33333333333331</v>
      </c>
      <c r="M61" s="60">
        <f t="shared" si="18"/>
        <v>458.33333333333331</v>
      </c>
      <c r="N61" s="60">
        <f t="shared" si="18"/>
        <v>458.33333333333331</v>
      </c>
      <c r="O61" s="60">
        <f t="shared" si="18"/>
        <v>458.33333333333331</v>
      </c>
      <c r="P61" s="60">
        <f t="shared" si="18"/>
        <v>458.33333333333331</v>
      </c>
      <c r="Q61" s="60">
        <f t="shared" si="18"/>
        <v>458.33333333333331</v>
      </c>
      <c r="R61" s="60">
        <f t="shared" si="18"/>
        <v>458.33333333333331</v>
      </c>
      <c r="S61" s="60">
        <f t="shared" si="18"/>
        <v>458.33333333333331</v>
      </c>
      <c r="T61" s="60">
        <f t="shared" ref="T61:T63" si="19">SUM(H61:S61)</f>
        <v>5499.9999999999991</v>
      </c>
      <c r="U61" s="21" t="str">
        <f t="shared" ref="U61:U63" si="20">IF(T61=G61,"","STOP")</f>
        <v/>
      </c>
    </row>
    <row r="62" spans="1:21" x14ac:dyDescent="0.2">
      <c r="A62" s="24"/>
      <c r="B62" s="24"/>
      <c r="C62" s="24"/>
      <c r="E62" s="24"/>
      <c r="F62" s="24" t="s">
        <v>55</v>
      </c>
      <c r="G62" s="46">
        <v>0</v>
      </c>
      <c r="T62" s="60">
        <f t="shared" si="19"/>
        <v>0</v>
      </c>
      <c r="U62" s="21" t="str">
        <f t="shared" si="20"/>
        <v/>
      </c>
    </row>
    <row r="63" spans="1:21" ht="10.8" thickBot="1" x14ac:dyDescent="0.25">
      <c r="A63" s="24"/>
      <c r="B63" s="24"/>
      <c r="C63" s="24"/>
      <c r="E63" s="24"/>
      <c r="F63" s="24" t="s">
        <v>56</v>
      </c>
      <c r="G63" s="42">
        <v>-1200</v>
      </c>
      <c r="H63" s="60">
        <f t="shared" ref="H63:S63" si="21">+$G63/12</f>
        <v>-100</v>
      </c>
      <c r="I63" s="60">
        <f t="shared" si="21"/>
        <v>-100</v>
      </c>
      <c r="J63" s="60">
        <f t="shared" si="21"/>
        <v>-100</v>
      </c>
      <c r="K63" s="60">
        <f t="shared" si="21"/>
        <v>-100</v>
      </c>
      <c r="L63" s="60">
        <f t="shared" si="21"/>
        <v>-100</v>
      </c>
      <c r="M63" s="60">
        <f t="shared" si="21"/>
        <v>-100</v>
      </c>
      <c r="N63" s="60">
        <f t="shared" si="21"/>
        <v>-100</v>
      </c>
      <c r="O63" s="60">
        <f t="shared" si="21"/>
        <v>-100</v>
      </c>
      <c r="P63" s="60">
        <f t="shared" si="21"/>
        <v>-100</v>
      </c>
      <c r="Q63" s="60">
        <f t="shared" si="21"/>
        <v>-100</v>
      </c>
      <c r="R63" s="60">
        <f t="shared" si="21"/>
        <v>-100</v>
      </c>
      <c r="S63" s="60">
        <f t="shared" si="21"/>
        <v>-100</v>
      </c>
      <c r="T63" s="60">
        <f t="shared" si="19"/>
        <v>-1200</v>
      </c>
      <c r="U63" s="21" t="str">
        <f t="shared" si="20"/>
        <v/>
      </c>
    </row>
    <row r="64" spans="1:21" x14ac:dyDescent="0.2">
      <c r="A64" s="24"/>
      <c r="B64" s="24"/>
      <c r="C64" s="24"/>
      <c r="E64" s="24" t="s">
        <v>57</v>
      </c>
      <c r="F64" s="24"/>
      <c r="G64" s="38">
        <f>SUM(G61:G63)</f>
        <v>4300</v>
      </c>
    </row>
    <row r="65" spans="1:21" x14ac:dyDescent="0.2">
      <c r="A65" s="24"/>
      <c r="B65" s="24"/>
      <c r="C65" s="24"/>
      <c r="E65" s="24" t="s">
        <v>58</v>
      </c>
      <c r="F65" s="24"/>
      <c r="G65" s="8"/>
    </row>
    <row r="66" spans="1:21" x14ac:dyDescent="0.2">
      <c r="A66" s="24"/>
      <c r="B66" s="24"/>
      <c r="C66" s="24"/>
      <c r="E66" s="24"/>
      <c r="F66" s="24" t="s">
        <v>59</v>
      </c>
      <c r="G66" s="48">
        <v>20600</v>
      </c>
      <c r="H66" s="60">
        <v>0</v>
      </c>
      <c r="I66" s="60">
        <v>0</v>
      </c>
      <c r="J66" s="60">
        <v>0</v>
      </c>
      <c r="K66" s="60">
        <v>0</v>
      </c>
      <c r="L66" s="60">
        <v>20600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f t="shared" ref="T66" si="22">SUM(H66:S66)</f>
        <v>20600</v>
      </c>
      <c r="U66" s="21" t="str">
        <f t="shared" ref="U66" si="23">IF(T66=G66,"","STOP")</f>
        <v/>
      </c>
    </row>
    <row r="67" spans="1:21" ht="10.8" thickBot="1" x14ac:dyDescent="0.25">
      <c r="A67" s="24"/>
      <c r="B67" s="24"/>
      <c r="C67" s="24"/>
      <c r="E67" s="24"/>
      <c r="F67" s="24" t="s">
        <v>295</v>
      </c>
      <c r="G67" s="42">
        <v>0</v>
      </c>
    </row>
    <row r="68" spans="1:21" x14ac:dyDescent="0.2">
      <c r="A68" s="24"/>
      <c r="B68" s="24"/>
      <c r="C68" s="24"/>
      <c r="E68" s="24" t="s">
        <v>60</v>
      </c>
      <c r="F68" s="24"/>
      <c r="G68" s="31">
        <f>ROUND(SUM(G65:G67),5)</f>
        <v>20600</v>
      </c>
    </row>
    <row r="69" spans="1:21" x14ac:dyDescent="0.2">
      <c r="A69" s="24"/>
      <c r="B69" s="24"/>
      <c r="C69" s="24"/>
      <c r="E69" s="24" t="s">
        <v>61</v>
      </c>
      <c r="F69" s="24"/>
      <c r="G69" s="8"/>
    </row>
    <row r="70" spans="1:21" x14ac:dyDescent="0.2">
      <c r="A70" s="24"/>
      <c r="B70" s="24"/>
      <c r="C70" s="24"/>
      <c r="E70" s="24"/>
      <c r="F70" s="56" t="s">
        <v>328</v>
      </c>
      <c r="G70" s="47">
        <v>2000</v>
      </c>
      <c r="L70" s="60">
        <v>1000</v>
      </c>
      <c r="S70" s="60">
        <v>1000</v>
      </c>
      <c r="T70" s="60">
        <f t="shared" ref="T70:T73" si="24">SUM(H70:S70)</f>
        <v>2000</v>
      </c>
      <c r="U70" s="21" t="str">
        <f t="shared" ref="U70:U73" si="25">IF(T70=G70,"","STOP")</f>
        <v/>
      </c>
    </row>
    <row r="71" spans="1:21" x14ac:dyDescent="0.2">
      <c r="A71" s="24"/>
      <c r="B71" s="24"/>
      <c r="C71" s="24"/>
      <c r="E71" s="24"/>
      <c r="F71" s="56" t="s">
        <v>328</v>
      </c>
      <c r="G71" s="47">
        <v>3000</v>
      </c>
      <c r="L71" s="60">
        <v>1500</v>
      </c>
      <c r="S71" s="60">
        <v>1500</v>
      </c>
      <c r="T71" s="60">
        <f t="shared" si="24"/>
        <v>3000</v>
      </c>
      <c r="U71" s="21" t="str">
        <f t="shared" si="25"/>
        <v/>
      </c>
    </row>
    <row r="72" spans="1:21" x14ac:dyDescent="0.2">
      <c r="A72" s="24"/>
      <c r="B72" s="24"/>
      <c r="C72" s="24"/>
      <c r="E72" s="24"/>
      <c r="F72" s="56" t="s">
        <v>328</v>
      </c>
      <c r="G72" s="46">
        <v>5000</v>
      </c>
      <c r="L72" s="60">
        <v>2500</v>
      </c>
      <c r="S72" s="60">
        <v>2500</v>
      </c>
      <c r="T72" s="60">
        <f t="shared" si="24"/>
        <v>5000</v>
      </c>
      <c r="U72" s="21" t="str">
        <f t="shared" si="25"/>
        <v/>
      </c>
    </row>
    <row r="73" spans="1:21" ht="10.8" thickBot="1" x14ac:dyDescent="0.25">
      <c r="A73" s="24"/>
      <c r="B73" s="24"/>
      <c r="C73" s="24"/>
      <c r="E73" s="24"/>
      <c r="F73" s="56" t="s">
        <v>328</v>
      </c>
      <c r="G73" s="39">
        <v>35000</v>
      </c>
      <c r="I73" s="60">
        <v>4375</v>
      </c>
      <c r="J73" s="60">
        <f>35000/4</f>
        <v>8750</v>
      </c>
      <c r="K73" s="60">
        <v>8750</v>
      </c>
      <c r="L73" s="60">
        <v>8750</v>
      </c>
      <c r="M73" s="60">
        <v>4375</v>
      </c>
      <c r="T73" s="60">
        <f t="shared" si="24"/>
        <v>35000</v>
      </c>
      <c r="U73" s="21" t="str">
        <f t="shared" si="25"/>
        <v/>
      </c>
    </row>
    <row r="74" spans="1:21" x14ac:dyDescent="0.2">
      <c r="A74" s="24"/>
      <c r="B74" s="24"/>
      <c r="C74" s="24"/>
      <c r="E74" s="24" t="s">
        <v>62</v>
      </c>
      <c r="F74" s="24"/>
      <c r="G74" s="31">
        <f>ROUND(SUM(G69:G73),5)</f>
        <v>45000</v>
      </c>
    </row>
    <row r="75" spans="1:21" x14ac:dyDescent="0.2">
      <c r="A75" s="24"/>
      <c r="B75" s="24"/>
      <c r="C75" s="24"/>
      <c r="E75" s="24" t="s">
        <v>63</v>
      </c>
      <c r="F75" s="24"/>
      <c r="G75" s="8"/>
    </row>
    <row r="76" spans="1:21" x14ac:dyDescent="0.2">
      <c r="A76" s="24"/>
      <c r="B76" s="24"/>
      <c r="C76" s="24"/>
      <c r="E76" s="24"/>
      <c r="F76" s="56" t="s">
        <v>329</v>
      </c>
      <c r="G76" s="47">
        <v>60000</v>
      </c>
      <c r="H76" s="60">
        <f t="shared" ref="H76:S76" si="26">+$G76/12</f>
        <v>5000</v>
      </c>
      <c r="I76" s="60">
        <f t="shared" si="26"/>
        <v>5000</v>
      </c>
      <c r="J76" s="60">
        <f t="shared" si="26"/>
        <v>5000</v>
      </c>
      <c r="K76" s="60">
        <f t="shared" si="26"/>
        <v>5000</v>
      </c>
      <c r="L76" s="60">
        <f t="shared" si="26"/>
        <v>5000</v>
      </c>
      <c r="M76" s="60">
        <f t="shared" si="26"/>
        <v>5000</v>
      </c>
      <c r="N76" s="60">
        <f t="shared" si="26"/>
        <v>5000</v>
      </c>
      <c r="O76" s="60">
        <f t="shared" si="26"/>
        <v>5000</v>
      </c>
      <c r="P76" s="60">
        <f t="shared" si="26"/>
        <v>5000</v>
      </c>
      <c r="Q76" s="60">
        <f t="shared" si="26"/>
        <v>5000</v>
      </c>
      <c r="R76" s="60">
        <f t="shared" si="26"/>
        <v>5000</v>
      </c>
      <c r="S76" s="60">
        <f t="shared" si="26"/>
        <v>5000</v>
      </c>
      <c r="T76" s="60">
        <f t="shared" ref="T76:T78" si="27">SUM(H76:S76)</f>
        <v>60000</v>
      </c>
      <c r="U76" s="21" t="str">
        <f t="shared" ref="U76:U78" si="28">IF(T76=G76,"","STOP")</f>
        <v/>
      </c>
    </row>
    <row r="77" spans="1:21" x14ac:dyDescent="0.2">
      <c r="A77" s="24"/>
      <c r="B77" s="24"/>
      <c r="C77" s="24"/>
      <c r="E77" s="24"/>
      <c r="F77" s="24" t="s">
        <v>64</v>
      </c>
      <c r="G77" s="47">
        <v>37500</v>
      </c>
      <c r="P77" s="60">
        <v>37500</v>
      </c>
      <c r="T77" s="60">
        <f t="shared" si="27"/>
        <v>37500</v>
      </c>
      <c r="U77" s="21" t="str">
        <f t="shared" si="28"/>
        <v/>
      </c>
    </row>
    <row r="78" spans="1:21" ht="10.8" thickBot="1" x14ac:dyDescent="0.25">
      <c r="A78" s="24"/>
      <c r="B78" s="24"/>
      <c r="C78" s="24"/>
      <c r="E78" s="24"/>
      <c r="F78" s="24" t="s">
        <v>280</v>
      </c>
      <c r="G78" s="9"/>
      <c r="T78" s="60">
        <f t="shared" si="27"/>
        <v>0</v>
      </c>
      <c r="U78" s="21" t="str">
        <f t="shared" si="28"/>
        <v/>
      </c>
    </row>
    <row r="79" spans="1:21" ht="10.8" thickBot="1" x14ac:dyDescent="0.25">
      <c r="A79" s="24"/>
      <c r="B79" s="24"/>
      <c r="C79" s="24"/>
      <c r="E79" s="24" t="s">
        <v>65</v>
      </c>
      <c r="F79" s="24"/>
      <c r="G79" s="33">
        <f>ROUND(SUM(G75:G78),5)</f>
        <v>97500</v>
      </c>
    </row>
    <row r="80" spans="1:21" ht="10.8" thickBot="1" x14ac:dyDescent="0.25">
      <c r="A80" s="24"/>
      <c r="B80" s="24"/>
      <c r="C80" s="24" t="s">
        <v>66</v>
      </c>
      <c r="D80" s="24"/>
      <c r="E80" s="24"/>
      <c r="F80" s="24"/>
      <c r="G80" s="34">
        <f>ROUND(G4+G12+G31+G46+G59+G64+G68+G74+G79,5)</f>
        <v>3520500</v>
      </c>
    </row>
    <row r="81" spans="1:21" x14ac:dyDescent="0.2">
      <c r="A81" s="24"/>
      <c r="B81" s="24" t="s">
        <v>67</v>
      </c>
      <c r="C81" s="24"/>
      <c r="D81" s="24"/>
      <c r="E81" s="24"/>
      <c r="F81" s="24"/>
      <c r="G81" s="31">
        <f>G80</f>
        <v>3520500</v>
      </c>
      <c r="T81" s="60">
        <f>SUM(T7:T80)</f>
        <v>3520500</v>
      </c>
    </row>
    <row r="82" spans="1:21" x14ac:dyDescent="0.2">
      <c r="A82" s="24"/>
      <c r="B82" s="24"/>
      <c r="C82" s="24"/>
      <c r="D82" s="24"/>
      <c r="E82" s="24"/>
      <c r="F82" s="24"/>
      <c r="G82" s="31"/>
    </row>
    <row r="83" spans="1:21" x14ac:dyDescent="0.2">
      <c r="A83" s="24"/>
      <c r="B83" s="24"/>
      <c r="C83" s="24" t="s">
        <v>290</v>
      </c>
      <c r="D83" s="24"/>
      <c r="E83" s="24"/>
      <c r="F83" s="24"/>
      <c r="G83" s="8"/>
    </row>
    <row r="84" spans="1:21" x14ac:dyDescent="0.2">
      <c r="A84" s="24"/>
      <c r="B84" s="24"/>
      <c r="C84" s="24"/>
      <c r="D84" s="24"/>
      <c r="E84" s="24"/>
      <c r="F84" s="24"/>
      <c r="G84" s="8"/>
    </row>
    <row r="85" spans="1:21" x14ac:dyDescent="0.2">
      <c r="A85" s="24"/>
      <c r="B85" s="24"/>
      <c r="C85" s="24"/>
      <c r="D85" s="24" t="s">
        <v>68</v>
      </c>
      <c r="E85" s="24"/>
      <c r="F85" s="24"/>
      <c r="G85" s="8"/>
    </row>
    <row r="86" spans="1:21" x14ac:dyDescent="0.2">
      <c r="A86" s="24"/>
      <c r="B86" s="24"/>
      <c r="C86" s="24"/>
      <c r="D86" s="24"/>
      <c r="E86" s="24" t="s">
        <v>69</v>
      </c>
      <c r="F86" s="24"/>
      <c r="G86" s="8"/>
    </row>
    <row r="87" spans="1:21" x14ac:dyDescent="0.2">
      <c r="A87" s="24"/>
      <c r="B87" s="24"/>
      <c r="C87" s="24"/>
      <c r="D87" s="24"/>
      <c r="E87" s="24"/>
      <c r="F87" s="24" t="s">
        <v>70</v>
      </c>
      <c r="G87" s="46">
        <v>25000</v>
      </c>
      <c r="T87" s="60">
        <f t="shared" ref="T87:T106" si="29">SUM(H87:S87)</f>
        <v>0</v>
      </c>
      <c r="U87" s="21" t="str">
        <f t="shared" ref="U87:U106" si="30">IF(T87=G87,"","STOP")</f>
        <v>STOP</v>
      </c>
    </row>
    <row r="88" spans="1:21" x14ac:dyDescent="0.2">
      <c r="A88" s="24"/>
      <c r="B88" s="24"/>
      <c r="C88" s="24"/>
      <c r="D88" s="24"/>
      <c r="E88" s="24"/>
      <c r="F88" s="24" t="s">
        <v>71</v>
      </c>
      <c r="G88" s="47">
        <v>6100</v>
      </c>
      <c r="T88" s="60">
        <f t="shared" si="29"/>
        <v>0</v>
      </c>
      <c r="U88" s="21" t="str">
        <f t="shared" si="30"/>
        <v>STOP</v>
      </c>
    </row>
    <row r="89" spans="1:21" x14ac:dyDescent="0.2">
      <c r="A89" s="24"/>
      <c r="B89" s="24"/>
      <c r="C89" s="24"/>
      <c r="D89" s="24"/>
      <c r="E89" s="24"/>
      <c r="F89" s="24" t="s">
        <v>72</v>
      </c>
      <c r="G89" s="47">
        <v>3000</v>
      </c>
      <c r="T89" s="60">
        <f t="shared" si="29"/>
        <v>0</v>
      </c>
      <c r="U89" s="21" t="str">
        <f t="shared" si="30"/>
        <v>STOP</v>
      </c>
    </row>
    <row r="90" spans="1:21" x14ac:dyDescent="0.2">
      <c r="A90" s="24"/>
      <c r="B90" s="24"/>
      <c r="C90" s="24"/>
      <c r="D90" s="24"/>
      <c r="E90" s="24"/>
      <c r="F90" s="24" t="s">
        <v>73</v>
      </c>
      <c r="G90" s="47">
        <v>5000</v>
      </c>
      <c r="T90" s="60">
        <f t="shared" si="29"/>
        <v>0</v>
      </c>
      <c r="U90" s="21" t="str">
        <f t="shared" si="30"/>
        <v>STOP</v>
      </c>
    </row>
    <row r="91" spans="1:21" x14ac:dyDescent="0.2">
      <c r="A91" s="24"/>
      <c r="B91" s="24"/>
      <c r="C91" s="24"/>
      <c r="D91" s="24"/>
      <c r="E91" s="24"/>
      <c r="F91" s="24" t="s">
        <v>74</v>
      </c>
      <c r="G91" s="47">
        <v>2000</v>
      </c>
      <c r="T91" s="60">
        <f t="shared" si="29"/>
        <v>0</v>
      </c>
      <c r="U91" s="21" t="str">
        <f t="shared" si="30"/>
        <v>STOP</v>
      </c>
    </row>
    <row r="92" spans="1:21" x14ac:dyDescent="0.2">
      <c r="A92" s="24"/>
      <c r="B92" s="24"/>
      <c r="C92" s="24"/>
      <c r="D92" s="24"/>
      <c r="E92" s="24"/>
      <c r="F92" s="56" t="s">
        <v>75</v>
      </c>
      <c r="G92" s="47">
        <v>6000</v>
      </c>
      <c r="T92" s="60">
        <f t="shared" si="29"/>
        <v>0</v>
      </c>
      <c r="U92" s="21" t="str">
        <f t="shared" si="30"/>
        <v>STOP</v>
      </c>
    </row>
    <row r="93" spans="1:21" x14ac:dyDescent="0.2">
      <c r="A93" s="24"/>
      <c r="B93" s="24"/>
      <c r="C93" s="24"/>
      <c r="D93" s="24"/>
      <c r="E93" s="24"/>
      <c r="F93" s="56" t="s">
        <v>76</v>
      </c>
      <c r="G93" s="47">
        <v>3000</v>
      </c>
      <c r="T93" s="60">
        <f t="shared" si="29"/>
        <v>0</v>
      </c>
      <c r="U93" s="21" t="str">
        <f t="shared" si="30"/>
        <v>STOP</v>
      </c>
    </row>
    <row r="94" spans="1:21" x14ac:dyDescent="0.2">
      <c r="A94" s="24"/>
      <c r="B94" s="24"/>
      <c r="C94" s="24"/>
      <c r="D94" s="24"/>
      <c r="E94" s="24"/>
      <c r="F94" s="24" t="s">
        <v>77</v>
      </c>
      <c r="G94" s="47">
        <v>60000</v>
      </c>
      <c r="T94" s="60">
        <f t="shared" si="29"/>
        <v>0</v>
      </c>
      <c r="U94" s="21" t="str">
        <f t="shared" si="30"/>
        <v>STOP</v>
      </c>
    </row>
    <row r="95" spans="1:21" x14ac:dyDescent="0.2">
      <c r="A95" s="24"/>
      <c r="B95" s="24"/>
      <c r="C95" s="24"/>
      <c r="D95" s="24"/>
      <c r="E95" s="24"/>
      <c r="F95" s="24" t="s">
        <v>78</v>
      </c>
      <c r="G95" s="47">
        <v>42000</v>
      </c>
      <c r="T95" s="60">
        <f t="shared" si="29"/>
        <v>0</v>
      </c>
      <c r="U95" s="21" t="str">
        <f t="shared" si="30"/>
        <v>STOP</v>
      </c>
    </row>
    <row r="96" spans="1:21" x14ac:dyDescent="0.2">
      <c r="A96" s="24"/>
      <c r="B96" s="24"/>
      <c r="C96" s="24"/>
      <c r="D96" s="24"/>
      <c r="E96" s="24"/>
      <c r="F96" s="24" t="s">
        <v>79</v>
      </c>
      <c r="G96" s="46">
        <v>20000</v>
      </c>
      <c r="T96" s="60">
        <f t="shared" si="29"/>
        <v>0</v>
      </c>
      <c r="U96" s="21" t="str">
        <f t="shared" si="30"/>
        <v>STOP</v>
      </c>
    </row>
    <row r="97" spans="1:21" x14ac:dyDescent="0.2">
      <c r="A97" s="24"/>
      <c r="B97" s="24"/>
      <c r="C97" s="24"/>
      <c r="D97" s="24"/>
      <c r="E97" s="24"/>
      <c r="F97" s="24" t="s">
        <v>293</v>
      </c>
      <c r="G97" s="47">
        <v>2000</v>
      </c>
      <c r="T97" s="60">
        <f t="shared" si="29"/>
        <v>0</v>
      </c>
      <c r="U97" s="21" t="str">
        <f t="shared" si="30"/>
        <v>STOP</v>
      </c>
    </row>
    <row r="98" spans="1:21" x14ac:dyDescent="0.2">
      <c r="A98" s="24"/>
      <c r="B98" s="24"/>
      <c r="C98" s="24"/>
      <c r="D98" s="24"/>
      <c r="E98" s="24"/>
      <c r="F98" s="56" t="s">
        <v>80</v>
      </c>
      <c r="G98" s="47">
        <v>3000</v>
      </c>
      <c r="T98" s="60">
        <f t="shared" si="29"/>
        <v>0</v>
      </c>
      <c r="U98" s="21" t="str">
        <f t="shared" si="30"/>
        <v>STOP</v>
      </c>
    </row>
    <row r="99" spans="1:21" x14ac:dyDescent="0.2">
      <c r="A99" s="24"/>
      <c r="B99" s="24"/>
      <c r="C99" s="24"/>
      <c r="D99" s="24"/>
      <c r="E99" s="24"/>
      <c r="F99" s="24" t="s">
        <v>81</v>
      </c>
      <c r="G99" s="47">
        <v>40000</v>
      </c>
      <c r="T99" s="60">
        <f t="shared" si="29"/>
        <v>0</v>
      </c>
      <c r="U99" s="21" t="str">
        <f t="shared" si="30"/>
        <v>STOP</v>
      </c>
    </row>
    <row r="100" spans="1:21" x14ac:dyDescent="0.2">
      <c r="A100" s="24"/>
      <c r="B100" s="24"/>
      <c r="C100" s="24"/>
      <c r="D100" s="24"/>
      <c r="E100" s="24"/>
      <c r="F100" s="24" t="s">
        <v>82</v>
      </c>
      <c r="G100" s="47">
        <v>0</v>
      </c>
      <c r="T100" s="60">
        <f t="shared" si="29"/>
        <v>0</v>
      </c>
      <c r="U100" s="21" t="str">
        <f t="shared" si="30"/>
        <v/>
      </c>
    </row>
    <row r="101" spans="1:21" x14ac:dyDescent="0.2">
      <c r="A101" s="24"/>
      <c r="B101" s="24"/>
      <c r="C101" s="24"/>
      <c r="D101" s="24"/>
      <c r="E101" s="24"/>
      <c r="F101" s="28" t="s">
        <v>83</v>
      </c>
      <c r="G101" s="46">
        <v>15000</v>
      </c>
      <c r="T101" s="60">
        <f t="shared" si="29"/>
        <v>0</v>
      </c>
      <c r="U101" s="21" t="str">
        <f t="shared" si="30"/>
        <v>STOP</v>
      </c>
    </row>
    <row r="102" spans="1:21" x14ac:dyDescent="0.2">
      <c r="A102" s="24"/>
      <c r="B102" s="24"/>
      <c r="C102" s="24"/>
      <c r="D102" s="24"/>
      <c r="E102" s="24"/>
      <c r="F102" s="24" t="s">
        <v>84</v>
      </c>
      <c r="G102" s="49">
        <v>4935</v>
      </c>
      <c r="T102" s="60">
        <f t="shared" si="29"/>
        <v>0</v>
      </c>
      <c r="U102" s="21" t="str">
        <f t="shared" si="30"/>
        <v>STOP</v>
      </c>
    </row>
    <row r="103" spans="1:21" x14ac:dyDescent="0.2">
      <c r="A103" s="24"/>
      <c r="B103" s="24"/>
      <c r="C103" s="24"/>
      <c r="D103" s="24"/>
      <c r="E103" s="24"/>
      <c r="F103" s="24" t="s">
        <v>85</v>
      </c>
      <c r="G103" s="46">
        <v>5000</v>
      </c>
      <c r="T103" s="60">
        <f t="shared" si="29"/>
        <v>0</v>
      </c>
      <c r="U103" s="21" t="str">
        <f t="shared" si="30"/>
        <v>STOP</v>
      </c>
    </row>
    <row r="104" spans="1:21" x14ac:dyDescent="0.2">
      <c r="A104" s="24"/>
      <c r="B104" s="24"/>
      <c r="C104" s="24"/>
      <c r="D104" s="24"/>
      <c r="E104" s="24"/>
      <c r="F104" s="24" t="s">
        <v>86</v>
      </c>
      <c r="G104" s="47">
        <v>35000</v>
      </c>
      <c r="T104" s="60">
        <f t="shared" si="29"/>
        <v>0</v>
      </c>
      <c r="U104" s="21" t="str">
        <f t="shared" si="30"/>
        <v>STOP</v>
      </c>
    </row>
    <row r="105" spans="1:21" x14ac:dyDescent="0.2">
      <c r="A105" s="24"/>
      <c r="B105" s="24"/>
      <c r="C105" s="24"/>
      <c r="D105" s="24"/>
      <c r="E105" s="24"/>
      <c r="F105" s="25" t="s">
        <v>291</v>
      </c>
      <c r="G105" s="46">
        <f>G27*0.2</f>
        <v>72000</v>
      </c>
      <c r="T105" s="60">
        <f t="shared" si="29"/>
        <v>0</v>
      </c>
      <c r="U105" s="21" t="str">
        <f t="shared" si="30"/>
        <v>STOP</v>
      </c>
    </row>
    <row r="106" spans="1:21" ht="10.8" thickBot="1" x14ac:dyDescent="0.25">
      <c r="A106" s="24"/>
      <c r="B106" s="24"/>
      <c r="C106" s="24"/>
      <c r="D106" s="24"/>
      <c r="E106" s="24"/>
      <c r="F106" s="24" t="s">
        <v>87</v>
      </c>
      <c r="G106" s="11">
        <v>0</v>
      </c>
      <c r="T106" s="60">
        <f t="shared" si="29"/>
        <v>0</v>
      </c>
      <c r="U106" s="21" t="str">
        <f t="shared" si="30"/>
        <v/>
      </c>
    </row>
    <row r="107" spans="1:21" x14ac:dyDescent="0.2">
      <c r="A107" s="24"/>
      <c r="B107" s="24"/>
      <c r="C107" s="24"/>
      <c r="D107" s="24"/>
      <c r="E107" s="24" t="s">
        <v>88</v>
      </c>
      <c r="F107" s="24"/>
      <c r="G107" s="31">
        <f>ROUND(SUM(G86:G106),5)</f>
        <v>349035</v>
      </c>
    </row>
    <row r="108" spans="1:21" x14ac:dyDescent="0.2">
      <c r="A108" s="24"/>
      <c r="B108" s="24"/>
      <c r="C108" s="24"/>
      <c r="D108" s="24"/>
      <c r="E108" s="24" t="s">
        <v>89</v>
      </c>
      <c r="F108" s="24"/>
      <c r="G108" s="8"/>
    </row>
    <row r="109" spans="1:21" x14ac:dyDescent="0.2">
      <c r="A109" s="24"/>
      <c r="B109" s="24"/>
      <c r="C109" s="24"/>
      <c r="D109" s="24"/>
      <c r="E109" s="24"/>
      <c r="F109" s="24" t="s">
        <v>90</v>
      </c>
      <c r="G109" s="47">
        <v>9000</v>
      </c>
      <c r="T109" s="60">
        <f t="shared" ref="T109:T118" si="31">SUM(H109:S109)</f>
        <v>0</v>
      </c>
      <c r="U109" s="21" t="str">
        <f t="shared" ref="U109:U118" si="32">IF(T109=G109,"","STOP")</f>
        <v>STOP</v>
      </c>
    </row>
    <row r="110" spans="1:21" x14ac:dyDescent="0.2">
      <c r="A110" s="24"/>
      <c r="B110" s="24"/>
      <c r="C110" s="24"/>
      <c r="D110" s="24"/>
      <c r="E110" s="24"/>
      <c r="F110" s="28" t="s">
        <v>303</v>
      </c>
      <c r="G110" s="46">
        <v>52300</v>
      </c>
      <c r="T110" s="60">
        <f t="shared" si="31"/>
        <v>0</v>
      </c>
      <c r="U110" s="21" t="str">
        <f t="shared" si="32"/>
        <v>STOP</v>
      </c>
    </row>
    <row r="111" spans="1:21" x14ac:dyDescent="0.2">
      <c r="A111" s="24"/>
      <c r="B111" s="24"/>
      <c r="C111" s="24"/>
      <c r="D111" s="24"/>
      <c r="E111" s="24"/>
      <c r="F111" s="24" t="s">
        <v>91</v>
      </c>
      <c r="G111" s="47">
        <v>30000</v>
      </c>
      <c r="T111" s="60">
        <f t="shared" si="31"/>
        <v>0</v>
      </c>
      <c r="U111" s="21" t="str">
        <f t="shared" si="32"/>
        <v>STOP</v>
      </c>
    </row>
    <row r="112" spans="1:21" x14ac:dyDescent="0.2">
      <c r="A112" s="24"/>
      <c r="B112" s="24"/>
      <c r="C112" s="24"/>
      <c r="D112" s="24"/>
      <c r="E112" s="24"/>
      <c r="F112" s="28" t="s">
        <v>92</v>
      </c>
      <c r="G112" s="46">
        <v>19500</v>
      </c>
      <c r="T112" s="60">
        <f t="shared" si="31"/>
        <v>0</v>
      </c>
      <c r="U112" s="21" t="str">
        <f t="shared" si="32"/>
        <v>STOP</v>
      </c>
    </row>
    <row r="113" spans="1:21" x14ac:dyDescent="0.2">
      <c r="A113" s="24"/>
      <c r="B113" s="24"/>
      <c r="C113" s="24"/>
      <c r="D113" s="24"/>
      <c r="E113" s="24"/>
      <c r="F113" s="24" t="s">
        <v>93</v>
      </c>
      <c r="G113" s="47">
        <v>5000</v>
      </c>
      <c r="T113" s="60">
        <f t="shared" si="31"/>
        <v>0</v>
      </c>
      <c r="U113" s="21" t="str">
        <f t="shared" si="32"/>
        <v>STOP</v>
      </c>
    </row>
    <row r="114" spans="1:21" x14ac:dyDescent="0.2">
      <c r="A114" s="24"/>
      <c r="B114" s="24"/>
      <c r="C114" s="24"/>
      <c r="D114" s="24"/>
      <c r="E114" s="24"/>
      <c r="F114" s="24" t="s">
        <v>94</v>
      </c>
      <c r="G114" s="47">
        <v>10000</v>
      </c>
      <c r="T114" s="60">
        <f t="shared" si="31"/>
        <v>0</v>
      </c>
      <c r="U114" s="21" t="str">
        <f t="shared" si="32"/>
        <v>STOP</v>
      </c>
    </row>
    <row r="115" spans="1:21" x14ac:dyDescent="0.2">
      <c r="A115" s="24"/>
      <c r="B115" s="24"/>
      <c r="C115" s="24"/>
      <c r="D115" s="24"/>
      <c r="E115" s="24"/>
      <c r="F115" s="24" t="s">
        <v>282</v>
      </c>
      <c r="G115" s="47">
        <v>2000</v>
      </c>
      <c r="T115" s="60">
        <f t="shared" si="31"/>
        <v>0</v>
      </c>
      <c r="U115" s="21" t="str">
        <f t="shared" si="32"/>
        <v>STOP</v>
      </c>
    </row>
    <row r="116" spans="1:21" x14ac:dyDescent="0.2">
      <c r="A116" s="24"/>
      <c r="B116" s="24"/>
      <c r="C116" s="24"/>
      <c r="D116" s="24"/>
      <c r="E116" s="24"/>
      <c r="F116" s="24" t="s">
        <v>292</v>
      </c>
      <c r="G116" s="47">
        <v>20500</v>
      </c>
      <c r="T116" s="60">
        <f t="shared" si="31"/>
        <v>0</v>
      </c>
      <c r="U116" s="21" t="str">
        <f t="shared" si="32"/>
        <v>STOP</v>
      </c>
    </row>
    <row r="117" spans="1:21" x14ac:dyDescent="0.2">
      <c r="A117" s="24"/>
      <c r="B117" s="24"/>
      <c r="C117" s="24"/>
      <c r="D117" s="24"/>
      <c r="E117" s="24"/>
      <c r="F117" s="24" t="s">
        <v>95</v>
      </c>
      <c r="G117" s="47">
        <v>8000</v>
      </c>
      <c r="T117" s="60">
        <f t="shared" si="31"/>
        <v>0</v>
      </c>
      <c r="U117" s="21" t="str">
        <f t="shared" si="32"/>
        <v>STOP</v>
      </c>
    </row>
    <row r="118" spans="1:21" ht="10.8" thickBot="1" x14ac:dyDescent="0.25">
      <c r="A118" s="24"/>
      <c r="B118" s="24"/>
      <c r="C118" s="24"/>
      <c r="D118" s="24"/>
      <c r="E118" s="24"/>
      <c r="F118" s="24" t="s">
        <v>283</v>
      </c>
      <c r="G118" s="47">
        <v>0</v>
      </c>
      <c r="T118" s="60">
        <f t="shared" si="31"/>
        <v>0</v>
      </c>
      <c r="U118" s="21" t="str">
        <f t="shared" si="32"/>
        <v/>
      </c>
    </row>
    <row r="119" spans="1:21" ht="10.8" thickBot="1" x14ac:dyDescent="0.25">
      <c r="A119" s="24"/>
      <c r="B119" s="24"/>
      <c r="C119" s="24"/>
      <c r="D119" s="24"/>
      <c r="E119" s="24" t="s">
        <v>96</v>
      </c>
      <c r="F119" s="24"/>
      <c r="G119" s="37">
        <f>ROUND(SUM(G108:G118),5)</f>
        <v>156300</v>
      </c>
    </row>
    <row r="120" spans="1:21" x14ac:dyDescent="0.2">
      <c r="A120" s="24"/>
      <c r="B120" s="24"/>
      <c r="C120" s="24"/>
      <c r="D120" s="24" t="s">
        <v>97</v>
      </c>
      <c r="E120" s="24"/>
      <c r="F120" s="24"/>
      <c r="G120" s="31">
        <f>ROUND(G85+G107+G119,5)</f>
        <v>505335</v>
      </c>
    </row>
    <row r="121" spans="1:21" x14ac:dyDescent="0.2">
      <c r="A121" s="24"/>
      <c r="B121" s="24"/>
      <c r="C121" s="24"/>
      <c r="D121" s="24"/>
      <c r="E121" s="24"/>
      <c r="F121" s="24"/>
      <c r="G121" s="8"/>
    </row>
    <row r="122" spans="1:21" x14ac:dyDescent="0.2">
      <c r="A122" s="24"/>
      <c r="B122" s="24"/>
      <c r="C122" s="24"/>
      <c r="D122" s="24" t="s">
        <v>98</v>
      </c>
      <c r="E122" s="24"/>
      <c r="F122" s="24"/>
      <c r="G122" s="8"/>
    </row>
    <row r="123" spans="1:21" x14ac:dyDescent="0.2">
      <c r="A123" s="24"/>
      <c r="B123" s="24"/>
      <c r="C123" s="24"/>
      <c r="D123" s="24"/>
      <c r="E123" s="24" t="s">
        <v>99</v>
      </c>
      <c r="F123" s="24"/>
      <c r="G123" s="8"/>
    </row>
    <row r="124" spans="1:21" x14ac:dyDescent="0.2">
      <c r="A124" s="24"/>
      <c r="B124" s="24"/>
      <c r="C124" s="24"/>
      <c r="D124" s="24"/>
      <c r="E124" s="24"/>
      <c r="F124" s="24" t="s">
        <v>100</v>
      </c>
      <c r="G124" s="46">
        <v>280520</v>
      </c>
      <c r="T124" s="60">
        <f t="shared" ref="T124:T128" si="33">SUM(H124:S124)</f>
        <v>0</v>
      </c>
      <c r="U124" s="21" t="str">
        <f t="shared" ref="U124:U128" si="34">IF(T124=G124,"","STOP")</f>
        <v>STOP</v>
      </c>
    </row>
    <row r="125" spans="1:21" x14ac:dyDescent="0.2">
      <c r="A125" s="24"/>
      <c r="B125" s="24"/>
      <c r="C125" s="24"/>
      <c r="D125" s="24"/>
      <c r="E125" s="24"/>
      <c r="F125" s="24" t="s">
        <v>101</v>
      </c>
      <c r="G125" s="46">
        <v>21460</v>
      </c>
      <c r="T125" s="60">
        <f t="shared" si="33"/>
        <v>0</v>
      </c>
      <c r="U125" s="21" t="str">
        <f t="shared" si="34"/>
        <v>STOP</v>
      </c>
    </row>
    <row r="126" spans="1:21" x14ac:dyDescent="0.2">
      <c r="A126" s="24"/>
      <c r="B126" s="24"/>
      <c r="C126" s="24"/>
      <c r="D126" s="24"/>
      <c r="E126" s="24"/>
      <c r="F126" s="24" t="s">
        <v>102</v>
      </c>
      <c r="G126" s="46">
        <v>50850</v>
      </c>
      <c r="T126" s="60">
        <f t="shared" si="33"/>
        <v>0</v>
      </c>
      <c r="U126" s="21" t="str">
        <f t="shared" si="34"/>
        <v>STOP</v>
      </c>
    </row>
    <row r="127" spans="1:21" x14ac:dyDescent="0.2">
      <c r="A127" s="24"/>
      <c r="B127" s="24"/>
      <c r="C127" s="24"/>
      <c r="D127" s="24"/>
      <c r="E127" s="24"/>
      <c r="F127" s="24" t="s">
        <v>103</v>
      </c>
      <c r="G127" s="46">
        <v>7056</v>
      </c>
      <c r="T127" s="60">
        <f t="shared" si="33"/>
        <v>0</v>
      </c>
      <c r="U127" s="21" t="str">
        <f t="shared" si="34"/>
        <v>STOP</v>
      </c>
    </row>
    <row r="128" spans="1:21" ht="10.8" thickBot="1" x14ac:dyDescent="0.25">
      <c r="A128" s="24"/>
      <c r="B128" s="24"/>
      <c r="C128" s="24"/>
      <c r="D128" s="24"/>
      <c r="E128" s="24"/>
      <c r="F128" s="24" t="s">
        <v>312</v>
      </c>
      <c r="G128" s="42">
        <v>814</v>
      </c>
      <c r="T128" s="60">
        <f t="shared" si="33"/>
        <v>0</v>
      </c>
      <c r="U128" s="21" t="str">
        <f t="shared" si="34"/>
        <v>STOP</v>
      </c>
    </row>
    <row r="129" spans="1:21" x14ac:dyDescent="0.2">
      <c r="A129" s="24"/>
      <c r="B129" s="24"/>
      <c r="C129" s="24"/>
      <c r="D129" s="24"/>
      <c r="E129" s="24" t="s">
        <v>104</v>
      </c>
      <c r="F129" s="24"/>
      <c r="G129" s="30">
        <f>SUM(G124:G128)</f>
        <v>360700</v>
      </c>
    </row>
    <row r="130" spans="1:21" x14ac:dyDescent="0.2">
      <c r="A130" s="24"/>
      <c r="B130" s="24"/>
      <c r="C130" s="24"/>
      <c r="D130" s="24"/>
      <c r="E130" s="24" t="s">
        <v>105</v>
      </c>
      <c r="F130" s="24"/>
      <c r="G130" s="8"/>
    </row>
    <row r="131" spans="1:21" x14ac:dyDescent="0.2">
      <c r="A131" s="24"/>
      <c r="B131" s="24"/>
      <c r="C131" s="24"/>
      <c r="D131" s="24"/>
      <c r="E131" s="24"/>
      <c r="F131" s="24" t="s">
        <v>106</v>
      </c>
      <c r="G131" s="47">
        <v>3100</v>
      </c>
      <c r="T131" s="60">
        <f t="shared" ref="T131:T133" si="35">SUM(H131:S131)</f>
        <v>0</v>
      </c>
      <c r="U131" s="21" t="str">
        <f t="shared" ref="U131:U133" si="36">IF(T131=G131,"","STOP")</f>
        <v>STOP</v>
      </c>
    </row>
    <row r="132" spans="1:21" x14ac:dyDescent="0.2">
      <c r="A132" s="24"/>
      <c r="B132" s="24"/>
      <c r="C132" s="24"/>
      <c r="D132" s="24"/>
      <c r="E132" s="24"/>
      <c r="F132" s="24" t="s">
        <v>107</v>
      </c>
      <c r="G132" s="48">
        <v>238</v>
      </c>
      <c r="T132" s="60">
        <f t="shared" si="35"/>
        <v>0</v>
      </c>
      <c r="U132" s="21" t="str">
        <f t="shared" si="36"/>
        <v>STOP</v>
      </c>
    </row>
    <row r="133" spans="1:21" ht="10.8" thickBot="1" x14ac:dyDescent="0.25">
      <c r="A133" s="24"/>
      <c r="B133" s="24"/>
      <c r="C133" s="24"/>
      <c r="D133" s="24"/>
      <c r="E133" s="24"/>
      <c r="F133" s="24" t="s">
        <v>312</v>
      </c>
      <c r="G133" s="42">
        <v>10</v>
      </c>
      <c r="T133" s="60">
        <f t="shared" si="35"/>
        <v>0</v>
      </c>
      <c r="U133" s="21" t="str">
        <f t="shared" si="36"/>
        <v>STOP</v>
      </c>
    </row>
    <row r="134" spans="1:21" x14ac:dyDescent="0.2">
      <c r="A134" s="24"/>
      <c r="B134" s="24"/>
      <c r="C134" s="24"/>
      <c r="D134" s="24"/>
      <c r="E134" s="24" t="s">
        <v>108</v>
      </c>
      <c r="F134" s="24"/>
      <c r="G134" s="30">
        <f>SUM(G131:G133)</f>
        <v>3348</v>
      </c>
    </row>
    <row r="135" spans="1:21" x14ac:dyDescent="0.2">
      <c r="A135" s="24"/>
      <c r="B135" s="24"/>
      <c r="C135" s="24"/>
      <c r="D135" s="24"/>
      <c r="E135" s="24" t="s">
        <v>109</v>
      </c>
      <c r="F135" s="24"/>
      <c r="G135" s="8"/>
    </row>
    <row r="136" spans="1:21" x14ac:dyDescent="0.2">
      <c r="A136" s="24"/>
      <c r="B136" s="24"/>
      <c r="C136" s="24"/>
      <c r="D136" s="24"/>
      <c r="E136" s="24"/>
      <c r="F136" s="24" t="s">
        <v>110</v>
      </c>
      <c r="G136" s="47">
        <v>16500</v>
      </c>
      <c r="T136" s="60">
        <f t="shared" ref="T136:T139" si="37">SUM(H136:S136)</f>
        <v>0</v>
      </c>
      <c r="U136" s="21" t="str">
        <f t="shared" ref="U136:U139" si="38">IF(T136=G136,"","STOP")</f>
        <v>STOP</v>
      </c>
    </row>
    <row r="137" spans="1:21" x14ac:dyDescent="0.2">
      <c r="A137" s="24"/>
      <c r="B137" s="24"/>
      <c r="C137" s="24"/>
      <c r="D137" s="24"/>
      <c r="E137" s="24"/>
      <c r="F137" s="24" t="s">
        <v>111</v>
      </c>
      <c r="G137" s="47">
        <v>2600</v>
      </c>
      <c r="T137" s="60">
        <f t="shared" si="37"/>
        <v>0</v>
      </c>
      <c r="U137" s="21" t="str">
        <f t="shared" si="38"/>
        <v>STOP</v>
      </c>
    </row>
    <row r="138" spans="1:21" x14ac:dyDescent="0.2">
      <c r="A138" s="24"/>
      <c r="B138" s="24"/>
      <c r="C138" s="24"/>
      <c r="D138" s="24"/>
      <c r="E138" s="24"/>
      <c r="F138" s="24" t="s">
        <v>112</v>
      </c>
      <c r="G138" s="47">
        <v>500</v>
      </c>
      <c r="T138" s="60">
        <f t="shared" si="37"/>
        <v>0</v>
      </c>
      <c r="U138" s="21" t="str">
        <f t="shared" si="38"/>
        <v>STOP</v>
      </c>
    </row>
    <row r="139" spans="1:21" ht="10.8" thickBot="1" x14ac:dyDescent="0.25">
      <c r="A139" s="24"/>
      <c r="B139" s="24"/>
      <c r="C139" s="24"/>
      <c r="D139" s="24"/>
      <c r="E139" s="24"/>
      <c r="F139" s="24" t="s">
        <v>113</v>
      </c>
      <c r="G139" s="39">
        <v>6000</v>
      </c>
      <c r="T139" s="60">
        <f t="shared" si="37"/>
        <v>0</v>
      </c>
      <c r="U139" s="21" t="str">
        <f t="shared" si="38"/>
        <v>STOP</v>
      </c>
    </row>
    <row r="140" spans="1:21" x14ac:dyDescent="0.2">
      <c r="A140" s="24"/>
      <c r="B140" s="24"/>
      <c r="C140" s="24"/>
      <c r="D140" s="24"/>
      <c r="E140" s="24" t="s">
        <v>114</v>
      </c>
      <c r="F140" s="24"/>
      <c r="G140" s="30">
        <f>SUM(G136:G139)</f>
        <v>25600</v>
      </c>
    </row>
    <row r="141" spans="1:21" x14ac:dyDescent="0.2">
      <c r="A141" s="24"/>
      <c r="B141" s="24"/>
      <c r="C141" s="24"/>
      <c r="D141" s="24"/>
      <c r="E141" s="24" t="s">
        <v>115</v>
      </c>
      <c r="F141" s="24"/>
      <c r="G141" s="8"/>
    </row>
    <row r="142" spans="1:21" ht="10.8" thickBot="1" x14ac:dyDescent="0.25">
      <c r="A142" s="24"/>
      <c r="B142" s="24"/>
      <c r="C142" s="24"/>
      <c r="D142" s="24"/>
      <c r="E142" s="24"/>
      <c r="F142" s="24" t="s">
        <v>116</v>
      </c>
      <c r="G142" s="39">
        <v>400</v>
      </c>
      <c r="T142" s="60">
        <f t="shared" ref="T142" si="39">SUM(H142:S142)</f>
        <v>0</v>
      </c>
      <c r="U142" s="21" t="str">
        <f t="shared" ref="U142" si="40">IF(T142=G142,"","STOP")</f>
        <v>STOP</v>
      </c>
    </row>
    <row r="143" spans="1:21" x14ac:dyDescent="0.2">
      <c r="A143" s="24"/>
      <c r="B143" s="24"/>
      <c r="C143" s="24"/>
      <c r="D143" s="24"/>
      <c r="E143" s="24" t="s">
        <v>117</v>
      </c>
      <c r="F143" s="24"/>
      <c r="G143" s="30">
        <f>SUM(G142)</f>
        <v>400</v>
      </c>
    </row>
    <row r="144" spans="1:21" x14ac:dyDescent="0.2">
      <c r="A144" s="24"/>
      <c r="B144" s="24"/>
      <c r="C144" s="24"/>
      <c r="D144" s="24"/>
      <c r="E144" s="24" t="s">
        <v>118</v>
      </c>
      <c r="F144" s="24"/>
      <c r="G144" s="8"/>
    </row>
    <row r="145" spans="1:21" x14ac:dyDescent="0.2">
      <c r="A145" s="24"/>
      <c r="B145" s="24"/>
      <c r="C145" s="24"/>
      <c r="D145" s="24"/>
      <c r="E145" s="24"/>
      <c r="F145" s="24" t="s">
        <v>119</v>
      </c>
      <c r="G145" s="47">
        <v>6000</v>
      </c>
      <c r="T145" s="60">
        <f t="shared" ref="T145:T152" si="41">SUM(H145:S145)</f>
        <v>0</v>
      </c>
      <c r="U145" s="21" t="str">
        <f t="shared" ref="U145:U152" si="42">IF(T145=G145,"","STOP")</f>
        <v>STOP</v>
      </c>
    </row>
    <row r="146" spans="1:21" x14ac:dyDescent="0.2">
      <c r="A146" s="24"/>
      <c r="B146" s="24"/>
      <c r="C146" s="24"/>
      <c r="D146" s="24"/>
      <c r="E146" s="24"/>
      <c r="F146" s="24" t="s">
        <v>120</v>
      </c>
      <c r="G146" s="47">
        <v>62675</v>
      </c>
      <c r="T146" s="60">
        <f t="shared" si="41"/>
        <v>0</v>
      </c>
      <c r="U146" s="21" t="str">
        <f t="shared" si="42"/>
        <v>STOP</v>
      </c>
    </row>
    <row r="147" spans="1:21" x14ac:dyDescent="0.2">
      <c r="A147" s="24"/>
      <c r="B147" s="24"/>
      <c r="C147" s="24"/>
      <c r="D147" s="24"/>
      <c r="E147" s="24"/>
      <c r="F147" s="24" t="s">
        <v>121</v>
      </c>
      <c r="G147" s="47">
        <v>78000</v>
      </c>
      <c r="T147" s="60">
        <f t="shared" si="41"/>
        <v>0</v>
      </c>
      <c r="U147" s="21" t="str">
        <f t="shared" si="42"/>
        <v>STOP</v>
      </c>
    </row>
    <row r="148" spans="1:21" x14ac:dyDescent="0.2">
      <c r="A148" s="24"/>
      <c r="B148" s="24"/>
      <c r="C148" s="24"/>
      <c r="D148" s="24"/>
      <c r="E148" s="24"/>
      <c r="F148" s="24" t="s">
        <v>122</v>
      </c>
      <c r="G148" s="46">
        <v>4000</v>
      </c>
      <c r="T148" s="60">
        <f t="shared" si="41"/>
        <v>0</v>
      </c>
      <c r="U148" s="21" t="str">
        <f t="shared" si="42"/>
        <v>STOP</v>
      </c>
    </row>
    <row r="149" spans="1:21" x14ac:dyDescent="0.2">
      <c r="A149" s="24"/>
      <c r="B149" s="24"/>
      <c r="C149" s="24"/>
      <c r="D149" s="24"/>
      <c r="E149" s="24"/>
      <c r="F149" s="24" t="s">
        <v>296</v>
      </c>
      <c r="G149" s="46">
        <v>3000</v>
      </c>
      <c r="T149" s="60">
        <f t="shared" si="41"/>
        <v>0</v>
      </c>
      <c r="U149" s="21" t="str">
        <f t="shared" si="42"/>
        <v>STOP</v>
      </c>
    </row>
    <row r="150" spans="1:21" x14ac:dyDescent="0.2">
      <c r="A150" s="24"/>
      <c r="B150" s="24"/>
      <c r="C150" s="24"/>
      <c r="D150" s="24"/>
      <c r="E150" s="24"/>
      <c r="F150" s="24" t="s">
        <v>123</v>
      </c>
      <c r="G150" s="46">
        <v>15000</v>
      </c>
      <c r="T150" s="60">
        <f t="shared" si="41"/>
        <v>0</v>
      </c>
      <c r="U150" s="21" t="str">
        <f t="shared" si="42"/>
        <v>STOP</v>
      </c>
    </row>
    <row r="151" spans="1:21" x14ac:dyDescent="0.2">
      <c r="A151" s="24"/>
      <c r="B151" s="24"/>
      <c r="C151" s="24"/>
      <c r="D151" s="24"/>
      <c r="E151" s="24"/>
      <c r="F151" s="24" t="s">
        <v>124</v>
      </c>
      <c r="G151" s="47">
        <v>1000</v>
      </c>
      <c r="T151" s="60">
        <f t="shared" si="41"/>
        <v>0</v>
      </c>
      <c r="U151" s="21" t="str">
        <f t="shared" si="42"/>
        <v>STOP</v>
      </c>
    </row>
    <row r="152" spans="1:21" ht="10.8" thickBot="1" x14ac:dyDescent="0.25">
      <c r="A152" s="24"/>
      <c r="B152" s="24"/>
      <c r="C152" s="24"/>
      <c r="D152" s="24"/>
      <c r="E152" s="24"/>
      <c r="F152" s="24" t="s">
        <v>125</v>
      </c>
      <c r="G152" s="50">
        <v>11500</v>
      </c>
      <c r="T152" s="60">
        <f t="shared" si="41"/>
        <v>0</v>
      </c>
      <c r="U152" s="21" t="str">
        <f t="shared" si="42"/>
        <v>STOP</v>
      </c>
    </row>
    <row r="153" spans="1:21" ht="10.8" thickBot="1" x14ac:dyDescent="0.25">
      <c r="A153" s="24"/>
      <c r="B153" s="24"/>
      <c r="C153" s="24"/>
      <c r="D153" s="24"/>
      <c r="E153" s="24" t="s">
        <v>126</v>
      </c>
      <c r="F153" s="24"/>
      <c r="G153" s="34">
        <f>ROUND(SUM(G144:G152),5)</f>
        <v>181175</v>
      </c>
    </row>
    <row r="154" spans="1:21" x14ac:dyDescent="0.2">
      <c r="A154" s="24"/>
      <c r="B154" s="24"/>
      <c r="C154" s="24"/>
      <c r="D154" s="24" t="s">
        <v>127</v>
      </c>
      <c r="E154" s="24"/>
      <c r="F154" s="24"/>
      <c r="G154" s="31">
        <f>ROUND(G122+G129+G134+G140+G143+G153,5)</f>
        <v>571223</v>
      </c>
    </row>
    <row r="155" spans="1:21" x14ac:dyDescent="0.2">
      <c r="A155" s="24"/>
      <c r="B155" s="24"/>
      <c r="C155" s="24"/>
      <c r="D155" s="24"/>
      <c r="E155" s="24"/>
      <c r="F155" s="24"/>
      <c r="G155" s="8"/>
    </row>
    <row r="156" spans="1:21" x14ac:dyDescent="0.2">
      <c r="A156" s="24"/>
      <c r="B156" s="24"/>
      <c r="C156" s="24"/>
      <c r="D156" s="24" t="s">
        <v>128</v>
      </c>
      <c r="E156" s="24"/>
      <c r="F156" s="24"/>
      <c r="G156" s="8"/>
    </row>
    <row r="157" spans="1:21" x14ac:dyDescent="0.2">
      <c r="A157" s="24"/>
      <c r="B157" s="24"/>
      <c r="C157" s="24"/>
      <c r="D157" s="24"/>
      <c r="E157" s="24" t="s">
        <v>129</v>
      </c>
      <c r="F157" s="24"/>
      <c r="G157" s="8"/>
    </row>
    <row r="158" spans="1:21" x14ac:dyDescent="0.2">
      <c r="A158" s="24"/>
      <c r="B158" s="24"/>
      <c r="C158" s="24"/>
      <c r="D158" s="24"/>
      <c r="E158" s="24"/>
      <c r="F158" s="24" t="s">
        <v>130</v>
      </c>
      <c r="G158" s="47">
        <v>572199</v>
      </c>
      <c r="T158" s="60">
        <f t="shared" ref="T158:T164" si="43">SUM(H158:S158)</f>
        <v>0</v>
      </c>
      <c r="U158" s="21" t="str">
        <f t="shared" ref="U158:U164" si="44">IF(T158=G158,"","STOP")</f>
        <v>STOP</v>
      </c>
    </row>
    <row r="159" spans="1:21" x14ac:dyDescent="0.2">
      <c r="A159" s="24"/>
      <c r="B159" s="24"/>
      <c r="C159" s="24"/>
      <c r="D159" s="24"/>
      <c r="E159" s="24"/>
      <c r="F159" s="57" t="s">
        <v>330</v>
      </c>
      <c r="G159" s="46">
        <v>20000</v>
      </c>
      <c r="T159" s="60">
        <f t="shared" si="43"/>
        <v>0</v>
      </c>
      <c r="U159" s="21" t="str">
        <f t="shared" si="44"/>
        <v>STOP</v>
      </c>
    </row>
    <row r="160" spans="1:21" x14ac:dyDescent="0.2">
      <c r="A160" s="24"/>
      <c r="B160" s="24"/>
      <c r="C160" s="24"/>
      <c r="D160" s="24"/>
      <c r="E160" s="24"/>
      <c r="F160" s="24" t="s">
        <v>131</v>
      </c>
      <c r="G160" s="47">
        <v>43774</v>
      </c>
      <c r="T160" s="60">
        <f t="shared" si="43"/>
        <v>0</v>
      </c>
      <c r="U160" s="21" t="str">
        <f t="shared" si="44"/>
        <v>STOP</v>
      </c>
    </row>
    <row r="161" spans="1:21" x14ac:dyDescent="0.2">
      <c r="A161" s="24"/>
      <c r="B161" s="24"/>
      <c r="C161" s="24"/>
      <c r="D161" s="24"/>
      <c r="E161" s="24"/>
      <c r="F161" s="24" t="s">
        <v>132</v>
      </c>
      <c r="G161" s="47">
        <v>168656</v>
      </c>
      <c r="T161" s="60">
        <f t="shared" si="43"/>
        <v>0</v>
      </c>
      <c r="U161" s="21" t="str">
        <f t="shared" si="44"/>
        <v>STOP</v>
      </c>
    </row>
    <row r="162" spans="1:21" x14ac:dyDescent="0.2">
      <c r="A162" s="24"/>
      <c r="B162" s="24"/>
      <c r="C162" s="24"/>
      <c r="D162" s="24"/>
      <c r="E162" s="24"/>
      <c r="F162" s="24" t="s">
        <v>133</v>
      </c>
      <c r="G162" s="47">
        <v>81445</v>
      </c>
      <c r="T162" s="60">
        <f t="shared" si="43"/>
        <v>0</v>
      </c>
      <c r="U162" s="21" t="str">
        <f t="shared" si="44"/>
        <v>STOP</v>
      </c>
    </row>
    <row r="163" spans="1:21" x14ac:dyDescent="0.2">
      <c r="A163" s="24"/>
      <c r="B163" s="24"/>
      <c r="C163" s="24"/>
      <c r="D163" s="24"/>
      <c r="E163" s="24"/>
      <c r="F163" s="24" t="s">
        <v>134</v>
      </c>
      <c r="G163" s="50">
        <v>5000</v>
      </c>
      <c r="T163" s="60">
        <f t="shared" si="43"/>
        <v>0</v>
      </c>
      <c r="U163" s="21" t="str">
        <f t="shared" si="44"/>
        <v>STOP</v>
      </c>
    </row>
    <row r="164" spans="1:21" ht="10.8" thickBot="1" x14ac:dyDescent="0.25">
      <c r="A164" s="24"/>
      <c r="B164" s="24"/>
      <c r="C164" s="24"/>
      <c r="D164" s="24"/>
      <c r="E164" s="24"/>
      <c r="F164" s="24" t="s">
        <v>311</v>
      </c>
      <c r="G164" s="42">
        <v>38093</v>
      </c>
      <c r="T164" s="60">
        <f t="shared" si="43"/>
        <v>0</v>
      </c>
      <c r="U164" s="21" t="str">
        <f t="shared" si="44"/>
        <v>STOP</v>
      </c>
    </row>
    <row r="165" spans="1:21" x14ac:dyDescent="0.2">
      <c r="A165" s="24"/>
      <c r="B165" s="24"/>
      <c r="C165" s="24"/>
      <c r="D165" s="24"/>
      <c r="E165" s="24" t="s">
        <v>135</v>
      </c>
      <c r="F165" s="24"/>
      <c r="G165" s="31">
        <f>ROUND(SUM(G157:G164),5)</f>
        <v>929167</v>
      </c>
    </row>
    <row r="166" spans="1:21" x14ac:dyDescent="0.2">
      <c r="A166" s="24"/>
      <c r="B166" s="24"/>
      <c r="C166" s="24"/>
      <c r="D166" s="24"/>
      <c r="E166" s="24" t="s">
        <v>136</v>
      </c>
      <c r="F166" s="24"/>
      <c r="G166" s="8"/>
    </row>
    <row r="167" spans="1:21" x14ac:dyDescent="0.2">
      <c r="A167" s="24"/>
      <c r="B167" s="24"/>
      <c r="C167" s="24"/>
      <c r="D167" s="24"/>
      <c r="E167" s="24"/>
      <c r="F167" s="57" t="s">
        <v>331</v>
      </c>
      <c r="G167" s="46">
        <v>125704</v>
      </c>
      <c r="T167" s="60">
        <f t="shared" ref="T167:T171" si="45">SUM(H167:S167)</f>
        <v>0</v>
      </c>
      <c r="U167" s="21" t="str">
        <f t="shared" ref="U167:U171" si="46">IF(T167=G167,"","STOP")</f>
        <v>STOP</v>
      </c>
    </row>
    <row r="168" spans="1:21" x14ac:dyDescent="0.2">
      <c r="A168" s="24"/>
      <c r="B168" s="24"/>
      <c r="C168" s="24"/>
      <c r="D168" s="24"/>
      <c r="E168" s="24"/>
      <c r="F168" s="24" t="s">
        <v>137</v>
      </c>
      <c r="G168" s="46">
        <v>9616</v>
      </c>
      <c r="T168" s="60">
        <f t="shared" si="45"/>
        <v>0</v>
      </c>
      <c r="U168" s="21" t="str">
        <f t="shared" si="46"/>
        <v>STOP</v>
      </c>
    </row>
    <row r="169" spans="1:21" x14ac:dyDescent="0.2">
      <c r="A169" s="24"/>
      <c r="B169" s="24"/>
      <c r="C169" s="24"/>
      <c r="D169" s="24"/>
      <c r="E169" s="24"/>
      <c r="F169" s="24" t="s">
        <v>138</v>
      </c>
      <c r="G169" s="46">
        <v>29436</v>
      </c>
      <c r="T169" s="60">
        <f t="shared" si="45"/>
        <v>0</v>
      </c>
      <c r="U169" s="21" t="str">
        <f t="shared" si="46"/>
        <v>STOP</v>
      </c>
    </row>
    <row r="170" spans="1:21" x14ac:dyDescent="0.2">
      <c r="A170" s="24"/>
      <c r="B170" s="24"/>
      <c r="C170" s="24"/>
      <c r="D170" s="24"/>
      <c r="E170" s="24"/>
      <c r="F170" s="24" t="s">
        <v>139</v>
      </c>
      <c r="G170" s="50">
        <v>1225</v>
      </c>
      <c r="T170" s="60">
        <f t="shared" si="45"/>
        <v>0</v>
      </c>
      <c r="U170" s="21" t="str">
        <f t="shared" si="46"/>
        <v>STOP</v>
      </c>
    </row>
    <row r="171" spans="1:21" ht="10.8" thickBot="1" x14ac:dyDescent="0.25">
      <c r="A171" s="24"/>
      <c r="B171" s="24"/>
      <c r="C171" s="24"/>
      <c r="D171" s="24"/>
      <c r="E171" s="24"/>
      <c r="F171" s="24" t="s">
        <v>310</v>
      </c>
      <c r="G171" s="42">
        <v>365</v>
      </c>
      <c r="T171" s="60">
        <f t="shared" si="45"/>
        <v>0</v>
      </c>
      <c r="U171" s="21" t="str">
        <f t="shared" si="46"/>
        <v>STOP</v>
      </c>
    </row>
    <row r="172" spans="1:21" x14ac:dyDescent="0.2">
      <c r="A172" s="24"/>
      <c r="B172" s="24"/>
      <c r="C172" s="24"/>
      <c r="D172" s="24"/>
      <c r="E172" s="24" t="s">
        <v>140</v>
      </c>
      <c r="F172" s="24"/>
      <c r="G172" s="30">
        <f>SUM(G166:G171)</f>
        <v>166346</v>
      </c>
    </row>
    <row r="173" spans="1:21" x14ac:dyDescent="0.2">
      <c r="A173" s="24"/>
      <c r="B173" s="24"/>
      <c r="C173" s="24"/>
      <c r="D173" s="24"/>
      <c r="E173" s="56" t="s">
        <v>332</v>
      </c>
      <c r="F173" s="24"/>
      <c r="G173" s="8"/>
    </row>
    <row r="174" spans="1:21" x14ac:dyDescent="0.2">
      <c r="A174" s="24"/>
      <c r="B174" s="24"/>
      <c r="C174" s="24"/>
      <c r="D174" s="24"/>
      <c r="E174" s="24"/>
      <c r="F174" s="24" t="s">
        <v>327</v>
      </c>
      <c r="G174" s="46">
        <v>169068</v>
      </c>
      <c r="T174" s="60">
        <f t="shared" ref="T174:T177" si="47">SUM(H174:S174)</f>
        <v>0</v>
      </c>
      <c r="U174" s="21" t="str">
        <f t="shared" ref="U174:U177" si="48">IF(T174=G174,"","STOP")</f>
        <v>STOP</v>
      </c>
    </row>
    <row r="175" spans="1:21" x14ac:dyDescent="0.2">
      <c r="A175" s="24"/>
      <c r="B175" s="24"/>
      <c r="C175" s="24"/>
      <c r="D175" s="24"/>
      <c r="E175" s="24"/>
      <c r="F175" s="24" t="s">
        <v>141</v>
      </c>
      <c r="G175" s="46">
        <v>12934</v>
      </c>
      <c r="T175" s="60">
        <f t="shared" si="47"/>
        <v>0</v>
      </c>
      <c r="U175" s="21" t="str">
        <f t="shared" si="48"/>
        <v>STOP</v>
      </c>
    </row>
    <row r="176" spans="1:21" x14ac:dyDescent="0.2">
      <c r="A176" s="24"/>
      <c r="B176" s="24"/>
      <c r="C176" s="24"/>
      <c r="D176" s="24"/>
      <c r="E176" s="24"/>
      <c r="F176" s="24" t="s">
        <v>142</v>
      </c>
      <c r="G176" s="50">
        <v>3000</v>
      </c>
      <c r="T176" s="60">
        <f t="shared" si="47"/>
        <v>0</v>
      </c>
      <c r="U176" s="21" t="str">
        <f t="shared" si="48"/>
        <v>STOP</v>
      </c>
    </row>
    <row r="177" spans="1:21" ht="10.8" thickBot="1" x14ac:dyDescent="0.25">
      <c r="A177" s="24"/>
      <c r="B177" s="24"/>
      <c r="C177" s="24"/>
      <c r="D177" s="24"/>
      <c r="E177" s="24"/>
      <c r="F177" s="24" t="s">
        <v>309</v>
      </c>
      <c r="G177" s="42">
        <v>10525</v>
      </c>
      <c r="T177" s="60">
        <f t="shared" si="47"/>
        <v>0</v>
      </c>
      <c r="U177" s="21" t="str">
        <f t="shared" si="48"/>
        <v>STOP</v>
      </c>
    </row>
    <row r="178" spans="1:21" x14ac:dyDescent="0.2">
      <c r="A178" s="24"/>
      <c r="B178" s="24"/>
      <c r="C178" s="24"/>
      <c r="D178" s="24"/>
      <c r="E178" s="24" t="s">
        <v>143</v>
      </c>
      <c r="F178" s="24"/>
      <c r="G178" s="38">
        <f>SUM(G174:G177)</f>
        <v>195527</v>
      </c>
    </row>
    <row r="179" spans="1:21" x14ac:dyDescent="0.2">
      <c r="A179" s="24"/>
      <c r="B179" s="24"/>
      <c r="C179" s="24"/>
      <c r="D179" s="24"/>
      <c r="E179" s="24" t="s">
        <v>144</v>
      </c>
      <c r="F179" s="24"/>
      <c r="G179" s="8"/>
    </row>
    <row r="180" spans="1:21" x14ac:dyDescent="0.2">
      <c r="A180" s="24"/>
      <c r="B180" s="24"/>
      <c r="C180" s="24"/>
      <c r="D180" s="24"/>
      <c r="E180" s="24"/>
      <c r="F180" s="24" t="s">
        <v>145</v>
      </c>
      <c r="G180" s="47">
        <v>24000</v>
      </c>
      <c r="T180" s="60">
        <f t="shared" ref="T180:T183" si="49">SUM(H180:S180)</f>
        <v>0</v>
      </c>
      <c r="U180" s="21" t="str">
        <f t="shared" ref="U180:U183" si="50">IF(T180=G180,"","STOP")</f>
        <v>STOP</v>
      </c>
    </row>
    <row r="181" spans="1:21" x14ac:dyDescent="0.2">
      <c r="A181" s="24"/>
      <c r="B181" s="24"/>
      <c r="C181" s="24"/>
      <c r="D181" s="24"/>
      <c r="E181" s="24"/>
      <c r="F181" s="24" t="s">
        <v>146</v>
      </c>
      <c r="G181" s="47">
        <v>2600</v>
      </c>
      <c r="T181" s="60">
        <f t="shared" si="49"/>
        <v>0</v>
      </c>
      <c r="U181" s="21" t="str">
        <f t="shared" si="50"/>
        <v>STOP</v>
      </c>
    </row>
    <row r="182" spans="1:21" x14ac:dyDescent="0.2">
      <c r="A182" s="24"/>
      <c r="B182" s="24"/>
      <c r="C182" s="24"/>
      <c r="D182" s="24"/>
      <c r="E182" s="24"/>
      <c r="F182" s="24" t="s">
        <v>147</v>
      </c>
      <c r="G182" s="47">
        <v>500</v>
      </c>
      <c r="T182" s="60">
        <f t="shared" si="49"/>
        <v>0</v>
      </c>
      <c r="U182" s="21" t="str">
        <f t="shared" si="50"/>
        <v>STOP</v>
      </c>
    </row>
    <row r="183" spans="1:21" ht="10.8" thickBot="1" x14ac:dyDescent="0.25">
      <c r="A183" s="24"/>
      <c r="B183" s="24"/>
      <c r="C183" s="24"/>
      <c r="D183" s="24"/>
      <c r="E183" s="24"/>
      <c r="F183" s="24" t="s">
        <v>148</v>
      </c>
      <c r="G183" s="39">
        <v>6000</v>
      </c>
      <c r="T183" s="60">
        <f t="shared" si="49"/>
        <v>0</v>
      </c>
      <c r="U183" s="21" t="str">
        <f t="shared" si="50"/>
        <v>STOP</v>
      </c>
    </row>
    <row r="184" spans="1:21" x14ac:dyDescent="0.2">
      <c r="A184" s="24"/>
      <c r="B184" s="24"/>
      <c r="C184" s="24"/>
      <c r="D184" s="24"/>
      <c r="E184" s="24" t="s">
        <v>149</v>
      </c>
      <c r="F184" s="24"/>
      <c r="G184" s="31">
        <f>SUM(G180:G183)</f>
        <v>33100</v>
      </c>
    </row>
    <row r="185" spans="1:21" x14ac:dyDescent="0.2">
      <c r="A185" s="24"/>
      <c r="B185" s="24"/>
      <c r="C185" s="24"/>
      <c r="D185" s="24"/>
      <c r="E185" s="24" t="s">
        <v>150</v>
      </c>
      <c r="F185" s="24"/>
      <c r="G185" s="8"/>
    </row>
    <row r="186" spans="1:21" x14ac:dyDescent="0.2">
      <c r="A186" s="24"/>
      <c r="B186" s="24"/>
      <c r="C186" s="24"/>
      <c r="D186" s="24"/>
      <c r="E186" s="24"/>
      <c r="F186" s="24" t="s">
        <v>151</v>
      </c>
      <c r="G186" s="46">
        <v>26000</v>
      </c>
      <c r="T186" s="60">
        <f t="shared" ref="T186:T187" si="51">SUM(H186:S186)</f>
        <v>0</v>
      </c>
      <c r="U186" s="21" t="str">
        <f t="shared" ref="U186:U187" si="52">IF(T186=G186,"","STOP")</f>
        <v>STOP</v>
      </c>
    </row>
    <row r="187" spans="1:21" ht="10.8" thickBot="1" x14ac:dyDescent="0.25">
      <c r="A187" s="24"/>
      <c r="B187" s="24"/>
      <c r="C187" s="24"/>
      <c r="D187" s="24"/>
      <c r="E187" s="24"/>
      <c r="F187" s="24" t="s">
        <v>152</v>
      </c>
      <c r="G187" s="39">
        <v>12000</v>
      </c>
      <c r="T187" s="60">
        <f t="shared" si="51"/>
        <v>0</v>
      </c>
      <c r="U187" s="21" t="str">
        <f t="shared" si="52"/>
        <v>STOP</v>
      </c>
    </row>
    <row r="188" spans="1:21" x14ac:dyDescent="0.2">
      <c r="A188" s="24"/>
      <c r="B188" s="24"/>
      <c r="C188" s="24"/>
      <c r="D188" s="24"/>
      <c r="E188" s="24" t="s">
        <v>153</v>
      </c>
      <c r="F188" s="24"/>
      <c r="G188" s="30">
        <f>SUM(G186:G187)</f>
        <v>38000</v>
      </c>
    </row>
    <row r="189" spans="1:21" x14ac:dyDescent="0.2">
      <c r="A189" s="24"/>
      <c r="B189" s="24"/>
      <c r="C189" s="24"/>
      <c r="D189" s="24"/>
      <c r="E189" s="24" t="s">
        <v>154</v>
      </c>
      <c r="F189" s="24"/>
      <c r="G189" s="8"/>
    </row>
    <row r="190" spans="1:21" x14ac:dyDescent="0.2">
      <c r="A190" s="24"/>
      <c r="B190" s="24"/>
      <c r="C190" s="24"/>
      <c r="D190" s="24"/>
      <c r="E190" s="24"/>
      <c r="F190" s="24" t="s">
        <v>155</v>
      </c>
      <c r="G190" s="47">
        <v>1000</v>
      </c>
      <c r="T190" s="60">
        <f t="shared" ref="T190:T199" si="53">SUM(H190:S190)</f>
        <v>0</v>
      </c>
      <c r="U190" s="21" t="str">
        <f t="shared" ref="U190:U199" si="54">IF(T190=G190,"","STOP")</f>
        <v>STOP</v>
      </c>
    </row>
    <row r="191" spans="1:21" x14ac:dyDescent="0.2">
      <c r="A191" s="24"/>
      <c r="B191" s="24"/>
      <c r="C191" s="24"/>
      <c r="D191" s="24"/>
      <c r="E191" s="24"/>
      <c r="F191" s="24" t="s">
        <v>156</v>
      </c>
      <c r="G191" s="47">
        <v>21400</v>
      </c>
      <c r="T191" s="60">
        <f t="shared" si="53"/>
        <v>0</v>
      </c>
      <c r="U191" s="21" t="str">
        <f t="shared" si="54"/>
        <v>STOP</v>
      </c>
    </row>
    <row r="192" spans="1:21" x14ac:dyDescent="0.2">
      <c r="A192" s="24"/>
      <c r="B192" s="24"/>
      <c r="C192" s="24"/>
      <c r="D192" s="24"/>
      <c r="E192" s="24"/>
      <c r="F192" s="24" t="s">
        <v>157</v>
      </c>
      <c r="G192" s="47">
        <v>100</v>
      </c>
      <c r="T192" s="60">
        <f t="shared" si="53"/>
        <v>0</v>
      </c>
      <c r="U192" s="21" t="str">
        <f t="shared" si="54"/>
        <v>STOP</v>
      </c>
    </row>
    <row r="193" spans="1:21" x14ac:dyDescent="0.2">
      <c r="A193" s="24"/>
      <c r="B193" s="24"/>
      <c r="C193" s="24"/>
      <c r="D193" s="24"/>
      <c r="E193" s="24"/>
      <c r="F193" s="24" t="s">
        <v>158</v>
      </c>
      <c r="G193" s="46">
        <v>86500</v>
      </c>
      <c r="T193" s="60">
        <f t="shared" si="53"/>
        <v>0</v>
      </c>
      <c r="U193" s="21" t="str">
        <f t="shared" si="54"/>
        <v>STOP</v>
      </c>
    </row>
    <row r="194" spans="1:21" x14ac:dyDescent="0.2">
      <c r="A194" s="24"/>
      <c r="B194" s="24"/>
      <c r="C194" s="24"/>
      <c r="D194" s="24"/>
      <c r="E194" s="24"/>
      <c r="F194" s="24" t="s">
        <v>159</v>
      </c>
      <c r="G194" s="47">
        <v>100</v>
      </c>
      <c r="T194" s="60">
        <f t="shared" si="53"/>
        <v>0</v>
      </c>
      <c r="U194" s="21" t="str">
        <f t="shared" si="54"/>
        <v>STOP</v>
      </c>
    </row>
    <row r="195" spans="1:21" x14ac:dyDescent="0.2">
      <c r="A195" s="24"/>
      <c r="B195" s="24"/>
      <c r="C195" s="24"/>
      <c r="D195" s="24"/>
      <c r="E195" s="24"/>
      <c r="F195" s="24" t="s">
        <v>160</v>
      </c>
      <c r="G195" s="47">
        <v>3685</v>
      </c>
      <c r="T195" s="60">
        <f t="shared" si="53"/>
        <v>0</v>
      </c>
      <c r="U195" s="21" t="str">
        <f t="shared" si="54"/>
        <v>STOP</v>
      </c>
    </row>
    <row r="196" spans="1:21" x14ac:dyDescent="0.2">
      <c r="A196" s="24"/>
      <c r="B196" s="24"/>
      <c r="C196" s="24"/>
      <c r="D196" s="24"/>
      <c r="E196" s="24"/>
      <c r="F196" s="24" t="s">
        <v>161</v>
      </c>
      <c r="G196" s="46">
        <v>5000</v>
      </c>
      <c r="T196" s="60">
        <f t="shared" si="53"/>
        <v>0</v>
      </c>
      <c r="U196" s="21" t="str">
        <f t="shared" si="54"/>
        <v>STOP</v>
      </c>
    </row>
    <row r="197" spans="1:21" x14ac:dyDescent="0.2">
      <c r="A197" s="24"/>
      <c r="B197" s="24"/>
      <c r="C197" s="24"/>
      <c r="D197" s="24"/>
      <c r="E197" s="24"/>
      <c r="F197" s="24" t="s">
        <v>162</v>
      </c>
      <c r="G197" s="46">
        <v>8000</v>
      </c>
      <c r="T197" s="60">
        <f t="shared" si="53"/>
        <v>0</v>
      </c>
      <c r="U197" s="21" t="str">
        <f t="shared" si="54"/>
        <v>STOP</v>
      </c>
    </row>
    <row r="198" spans="1:21" x14ac:dyDescent="0.2">
      <c r="A198" s="24"/>
      <c r="B198" s="24"/>
      <c r="C198" s="24"/>
      <c r="D198" s="24"/>
      <c r="E198" s="24"/>
      <c r="F198" s="24" t="s">
        <v>163</v>
      </c>
      <c r="G198" s="46">
        <v>8000</v>
      </c>
      <c r="T198" s="60">
        <f t="shared" si="53"/>
        <v>0</v>
      </c>
      <c r="U198" s="21" t="str">
        <f t="shared" si="54"/>
        <v>STOP</v>
      </c>
    </row>
    <row r="199" spans="1:21" ht="10.8" thickBot="1" x14ac:dyDescent="0.25">
      <c r="A199" s="24"/>
      <c r="B199" s="24"/>
      <c r="C199" s="24"/>
      <c r="D199" s="24"/>
      <c r="E199" s="24"/>
      <c r="F199" s="24" t="s">
        <v>164</v>
      </c>
      <c r="G199" s="48">
        <v>500</v>
      </c>
      <c r="T199" s="60">
        <f t="shared" si="53"/>
        <v>0</v>
      </c>
      <c r="U199" s="21" t="str">
        <f t="shared" si="54"/>
        <v>STOP</v>
      </c>
    </row>
    <row r="200" spans="1:21" ht="10.8" thickBot="1" x14ac:dyDescent="0.25">
      <c r="A200" s="24"/>
      <c r="B200" s="24"/>
      <c r="C200" s="24"/>
      <c r="D200" s="24"/>
      <c r="E200" s="24" t="s">
        <v>165</v>
      </c>
      <c r="F200" s="24"/>
      <c r="G200" s="34">
        <f>SUM(G190:G199)</f>
        <v>134285</v>
      </c>
    </row>
    <row r="201" spans="1:21" x14ac:dyDescent="0.2">
      <c r="A201" s="24"/>
      <c r="B201" s="24"/>
      <c r="C201" s="24"/>
      <c r="D201" s="24" t="s">
        <v>166</v>
      </c>
      <c r="E201" s="24"/>
      <c r="F201" s="24"/>
      <c r="G201" s="31">
        <f>ROUND(G156+G165+G172+G178+G184+G188+G200,5)</f>
        <v>1496425</v>
      </c>
    </row>
    <row r="202" spans="1:21" x14ac:dyDescent="0.2">
      <c r="A202" s="24"/>
      <c r="B202" s="24"/>
      <c r="C202" s="24"/>
      <c r="D202" s="24"/>
      <c r="E202" s="24"/>
      <c r="F202" s="24"/>
      <c r="G202" s="8"/>
    </row>
    <row r="203" spans="1:21" x14ac:dyDescent="0.2">
      <c r="A203" s="24"/>
      <c r="B203" s="24"/>
      <c r="C203" s="24"/>
      <c r="D203" s="28" t="s">
        <v>167</v>
      </c>
      <c r="E203" s="28"/>
      <c r="F203" s="28"/>
      <c r="G203" s="8"/>
    </row>
    <row r="204" spans="1:21" x14ac:dyDescent="0.2">
      <c r="A204" s="24"/>
      <c r="B204" s="24"/>
      <c r="C204" s="24"/>
      <c r="D204" s="24"/>
      <c r="E204" s="24" t="s">
        <v>168</v>
      </c>
      <c r="F204" s="24"/>
      <c r="G204" s="8"/>
    </row>
    <row r="205" spans="1:21" x14ac:dyDescent="0.2">
      <c r="A205" s="24"/>
      <c r="B205" s="24"/>
      <c r="C205" s="24"/>
      <c r="D205" s="24"/>
      <c r="E205" s="24"/>
      <c r="F205" s="24" t="s">
        <v>169</v>
      </c>
      <c r="G205" s="46">
        <v>60131</v>
      </c>
      <c r="T205" s="60">
        <f t="shared" ref="T205:T209" si="55">SUM(H205:S205)</f>
        <v>0</v>
      </c>
      <c r="U205" s="21" t="str">
        <f t="shared" ref="U205:U209" si="56">IF(T205=G205,"","STOP")</f>
        <v>STOP</v>
      </c>
    </row>
    <row r="206" spans="1:21" x14ac:dyDescent="0.2">
      <c r="A206" s="24"/>
      <c r="B206" s="24"/>
      <c r="C206" s="24"/>
      <c r="D206" s="24"/>
      <c r="E206" s="24"/>
      <c r="F206" s="24" t="s">
        <v>170</v>
      </c>
      <c r="G206" s="46">
        <v>4600</v>
      </c>
      <c r="T206" s="60">
        <f t="shared" si="55"/>
        <v>0</v>
      </c>
      <c r="U206" s="21" t="str">
        <f t="shared" si="56"/>
        <v>STOP</v>
      </c>
    </row>
    <row r="207" spans="1:21" x14ac:dyDescent="0.2">
      <c r="A207" s="24"/>
      <c r="B207" s="24"/>
      <c r="C207" s="24"/>
      <c r="D207" s="24"/>
      <c r="E207" s="24"/>
      <c r="F207" s="24" t="s">
        <v>171</v>
      </c>
      <c r="G207" s="46">
        <v>10035</v>
      </c>
      <c r="T207" s="60">
        <f t="shared" si="55"/>
        <v>0</v>
      </c>
      <c r="U207" s="21" t="str">
        <f t="shared" si="56"/>
        <v>STOP</v>
      </c>
    </row>
    <row r="208" spans="1:21" x14ac:dyDescent="0.2">
      <c r="A208" s="24"/>
      <c r="B208" s="24"/>
      <c r="C208" s="24"/>
      <c r="D208" s="24"/>
      <c r="E208" s="24"/>
      <c r="F208" s="24" t="s">
        <v>172</v>
      </c>
      <c r="G208" s="50">
        <v>1387</v>
      </c>
      <c r="T208" s="60">
        <f t="shared" si="55"/>
        <v>0</v>
      </c>
      <c r="U208" s="21" t="str">
        <f t="shared" si="56"/>
        <v>STOP</v>
      </c>
    </row>
    <row r="209" spans="1:21" ht="10.8" thickBot="1" x14ac:dyDescent="0.25">
      <c r="A209" s="24"/>
      <c r="B209" s="24"/>
      <c r="C209" s="24"/>
      <c r="D209" s="24"/>
      <c r="E209" s="24"/>
      <c r="F209" s="24" t="s">
        <v>308</v>
      </c>
      <c r="G209" s="42">
        <v>3752</v>
      </c>
      <c r="T209" s="60">
        <f t="shared" si="55"/>
        <v>0</v>
      </c>
      <c r="U209" s="21" t="str">
        <f t="shared" si="56"/>
        <v>STOP</v>
      </c>
    </row>
    <row r="210" spans="1:21" x14ac:dyDescent="0.2">
      <c r="A210" s="24"/>
      <c r="B210" s="24"/>
      <c r="C210" s="24"/>
      <c r="D210" s="24"/>
      <c r="E210" s="24" t="s">
        <v>173</v>
      </c>
      <c r="F210" s="24"/>
      <c r="G210" s="30">
        <f>ROUND(SUM(G204:G209),5)</f>
        <v>79905</v>
      </c>
    </row>
    <row r="211" spans="1:21" x14ac:dyDescent="0.2">
      <c r="A211" s="24"/>
      <c r="B211" s="24"/>
      <c r="C211" s="24"/>
      <c r="D211" s="24"/>
      <c r="E211" s="24" t="s">
        <v>174</v>
      </c>
      <c r="F211" s="24"/>
      <c r="G211" s="8"/>
    </row>
    <row r="212" spans="1:21" x14ac:dyDescent="0.2">
      <c r="A212" s="24"/>
      <c r="B212" s="24"/>
      <c r="C212" s="24"/>
      <c r="D212" s="24"/>
      <c r="E212" s="24"/>
      <c r="F212" s="24" t="s">
        <v>175</v>
      </c>
      <c r="G212" s="46">
        <v>6000</v>
      </c>
      <c r="T212" s="60">
        <f t="shared" ref="T212:T213" si="57">SUM(H212:S212)</f>
        <v>0</v>
      </c>
      <c r="U212" s="21" t="str">
        <f t="shared" ref="U212:U213" si="58">IF(T212=G212,"","STOP")</f>
        <v>STOP</v>
      </c>
    </row>
    <row r="213" spans="1:21" ht="10.8" thickBot="1" x14ac:dyDescent="0.25">
      <c r="A213" s="24"/>
      <c r="B213" s="24"/>
      <c r="C213" s="24"/>
      <c r="D213" s="24"/>
      <c r="E213" s="24"/>
      <c r="F213" s="24" t="s">
        <v>176</v>
      </c>
      <c r="G213" s="39">
        <v>1200</v>
      </c>
      <c r="T213" s="60">
        <f t="shared" si="57"/>
        <v>0</v>
      </c>
      <c r="U213" s="21" t="str">
        <f t="shared" si="58"/>
        <v>STOP</v>
      </c>
    </row>
    <row r="214" spans="1:21" x14ac:dyDescent="0.2">
      <c r="A214" s="24"/>
      <c r="B214" s="24"/>
      <c r="C214" s="24"/>
      <c r="D214" s="24"/>
      <c r="E214" s="24" t="s">
        <v>177</v>
      </c>
      <c r="F214" s="24"/>
      <c r="G214" s="30">
        <f>SUM(G212:G213)</f>
        <v>7200</v>
      </c>
    </row>
    <row r="215" spans="1:21" x14ac:dyDescent="0.2">
      <c r="A215" s="24"/>
      <c r="B215" s="24"/>
      <c r="C215" s="24"/>
      <c r="D215" s="24"/>
      <c r="E215" s="24" t="s">
        <v>178</v>
      </c>
      <c r="F215" s="24"/>
      <c r="G215" s="8"/>
    </row>
    <row r="216" spans="1:21" x14ac:dyDescent="0.2">
      <c r="A216" s="24"/>
      <c r="B216" s="24"/>
      <c r="C216" s="24"/>
      <c r="D216" s="24"/>
      <c r="E216" s="24"/>
      <c r="F216" s="24" t="s">
        <v>179</v>
      </c>
      <c r="G216" s="47">
        <v>3600</v>
      </c>
      <c r="T216" s="60">
        <f t="shared" ref="T216:T217" si="59">SUM(H216:S216)</f>
        <v>0</v>
      </c>
      <c r="U216" s="21" t="str">
        <f t="shared" ref="U216:U217" si="60">IF(T216=G216,"","STOP")</f>
        <v>STOP</v>
      </c>
    </row>
    <row r="217" spans="1:21" ht="10.8" thickBot="1" x14ac:dyDescent="0.25">
      <c r="A217" s="24"/>
      <c r="B217" s="24"/>
      <c r="C217" s="24"/>
      <c r="D217" s="24"/>
      <c r="E217" s="24"/>
      <c r="F217" s="24" t="s">
        <v>180</v>
      </c>
      <c r="G217" s="39">
        <v>2400</v>
      </c>
      <c r="T217" s="60">
        <f t="shared" si="59"/>
        <v>0</v>
      </c>
      <c r="U217" s="21" t="str">
        <f t="shared" si="60"/>
        <v>STOP</v>
      </c>
    </row>
    <row r="218" spans="1:21" x14ac:dyDescent="0.2">
      <c r="A218" s="24"/>
      <c r="B218" s="24"/>
      <c r="C218" s="24"/>
      <c r="D218" s="24"/>
      <c r="E218" s="24" t="s">
        <v>181</v>
      </c>
      <c r="F218" s="24"/>
      <c r="G218" s="30">
        <f>SUM(G216:G217)</f>
        <v>6000</v>
      </c>
    </row>
    <row r="219" spans="1:21" x14ac:dyDescent="0.2">
      <c r="A219" s="24"/>
      <c r="B219" s="24"/>
      <c r="C219" s="24"/>
      <c r="D219" s="24"/>
      <c r="E219" s="24" t="s">
        <v>182</v>
      </c>
      <c r="F219" s="24"/>
      <c r="G219" s="8"/>
    </row>
    <row r="220" spans="1:21" x14ac:dyDescent="0.2">
      <c r="A220" s="24"/>
      <c r="B220" s="24"/>
      <c r="C220" s="24"/>
      <c r="D220" s="24"/>
      <c r="E220" s="24"/>
      <c r="F220" s="24" t="s">
        <v>183</v>
      </c>
      <c r="G220" s="47">
        <v>1300</v>
      </c>
      <c r="T220" s="60">
        <f t="shared" ref="T220:T222" si="61">SUM(H220:S220)</f>
        <v>0</v>
      </c>
      <c r="U220" s="21" t="str">
        <f t="shared" ref="U220:U222" si="62">IF(T220=G220,"","STOP")</f>
        <v>STOP</v>
      </c>
    </row>
    <row r="221" spans="1:21" x14ac:dyDescent="0.2">
      <c r="A221" s="24"/>
      <c r="B221" s="24"/>
      <c r="C221" s="24"/>
      <c r="D221" s="24"/>
      <c r="E221" s="24"/>
      <c r="F221" s="24" t="s">
        <v>184</v>
      </c>
      <c r="G221" s="47">
        <v>13000</v>
      </c>
      <c r="T221" s="60">
        <f t="shared" si="61"/>
        <v>0</v>
      </c>
      <c r="U221" s="21" t="str">
        <f t="shared" si="62"/>
        <v>STOP</v>
      </c>
    </row>
    <row r="222" spans="1:21" ht="10.8" thickBot="1" x14ac:dyDescent="0.25">
      <c r="A222" s="24"/>
      <c r="B222" s="24"/>
      <c r="C222" s="24"/>
      <c r="D222" s="24"/>
      <c r="E222" s="24"/>
      <c r="F222" s="24" t="s">
        <v>185</v>
      </c>
      <c r="G222" s="48">
        <v>3000</v>
      </c>
      <c r="T222" s="60">
        <f t="shared" si="61"/>
        <v>0</v>
      </c>
      <c r="U222" s="21" t="str">
        <f t="shared" si="62"/>
        <v>STOP</v>
      </c>
    </row>
    <row r="223" spans="1:21" ht="10.8" thickBot="1" x14ac:dyDescent="0.25">
      <c r="A223" s="24"/>
      <c r="B223" s="24"/>
      <c r="C223" s="24"/>
      <c r="D223" s="24"/>
      <c r="E223" s="24" t="s">
        <v>186</v>
      </c>
      <c r="F223" s="24"/>
      <c r="G223" s="34">
        <f>SUM(G220:G222)</f>
        <v>17300</v>
      </c>
    </row>
    <row r="224" spans="1:21" x14ac:dyDescent="0.2">
      <c r="A224" s="24"/>
      <c r="B224" s="24"/>
      <c r="C224" s="24"/>
      <c r="D224" s="24" t="s">
        <v>187</v>
      </c>
      <c r="E224" s="24"/>
      <c r="F224" s="24"/>
      <c r="G224" s="30">
        <f>ROUND(G203+G210+G214+G218+G223,5)</f>
        <v>110405</v>
      </c>
    </row>
    <row r="225" spans="1:21" x14ac:dyDescent="0.2">
      <c r="A225" s="24"/>
      <c r="B225" s="24"/>
      <c r="C225" s="24"/>
      <c r="D225" s="24"/>
      <c r="E225" s="24"/>
      <c r="F225" s="24"/>
      <c r="G225" s="8"/>
    </row>
    <row r="226" spans="1:21" x14ac:dyDescent="0.2">
      <c r="A226" s="24"/>
      <c r="B226" s="24"/>
      <c r="C226" s="24"/>
      <c r="D226" s="24" t="s">
        <v>188</v>
      </c>
      <c r="E226" s="24"/>
      <c r="F226" s="24"/>
      <c r="G226" s="8"/>
    </row>
    <row r="227" spans="1:21" x14ac:dyDescent="0.2">
      <c r="A227" s="24"/>
      <c r="B227" s="24"/>
      <c r="C227" s="24"/>
      <c r="D227" s="24"/>
      <c r="E227" s="24" t="s">
        <v>189</v>
      </c>
      <c r="F227" s="24"/>
      <c r="G227" s="8"/>
    </row>
    <row r="228" spans="1:21" x14ac:dyDescent="0.2">
      <c r="A228" s="24"/>
      <c r="B228" s="24"/>
      <c r="C228" s="24"/>
      <c r="D228" s="24"/>
      <c r="E228" s="24"/>
      <c r="F228" s="24" t="s">
        <v>190</v>
      </c>
      <c r="G228" s="46">
        <v>75870</v>
      </c>
      <c r="T228" s="60">
        <f t="shared" ref="T228:T232" si="63">SUM(H228:S228)</f>
        <v>0</v>
      </c>
      <c r="U228" s="21" t="str">
        <f t="shared" ref="U228:U232" si="64">IF(T228=G228,"","STOP")</f>
        <v>STOP</v>
      </c>
    </row>
    <row r="229" spans="1:21" x14ac:dyDescent="0.2">
      <c r="A229" s="24"/>
      <c r="B229" s="24"/>
      <c r="C229" s="24"/>
      <c r="D229" s="24"/>
      <c r="E229" s="24"/>
      <c r="F229" s="24" t="s">
        <v>191</v>
      </c>
      <c r="G229" s="46">
        <v>5804</v>
      </c>
      <c r="T229" s="60">
        <f t="shared" si="63"/>
        <v>0</v>
      </c>
      <c r="U229" s="21" t="str">
        <f t="shared" si="64"/>
        <v>STOP</v>
      </c>
    </row>
    <row r="230" spans="1:21" x14ac:dyDescent="0.2">
      <c r="A230" s="58"/>
      <c r="B230" s="58"/>
      <c r="C230" s="58"/>
      <c r="D230" s="58"/>
      <c r="E230" s="58"/>
      <c r="F230" s="58" t="s">
        <v>192</v>
      </c>
      <c r="G230" s="50">
        <v>32012</v>
      </c>
      <c r="T230" s="60">
        <f t="shared" si="63"/>
        <v>0</v>
      </c>
      <c r="U230" s="21" t="str">
        <f t="shared" si="64"/>
        <v>STOP</v>
      </c>
    </row>
    <row r="231" spans="1:21" x14ac:dyDescent="0.2">
      <c r="A231" s="58"/>
      <c r="B231" s="58"/>
      <c r="C231" s="58"/>
      <c r="D231" s="58"/>
      <c r="E231" s="58"/>
      <c r="F231" s="58" t="s">
        <v>193</v>
      </c>
      <c r="G231" s="50">
        <v>1219</v>
      </c>
      <c r="T231" s="60">
        <f t="shared" si="63"/>
        <v>0</v>
      </c>
      <c r="U231" s="21" t="str">
        <f t="shared" si="64"/>
        <v>STOP</v>
      </c>
    </row>
    <row r="232" spans="1:21" ht="10.8" thickBot="1" x14ac:dyDescent="0.25">
      <c r="A232" s="24"/>
      <c r="B232" s="24"/>
      <c r="C232" s="24"/>
      <c r="D232" s="24"/>
      <c r="E232" s="24"/>
      <c r="F232" s="24" t="s">
        <v>306</v>
      </c>
      <c r="G232" s="42">
        <v>600</v>
      </c>
      <c r="T232" s="60">
        <f t="shared" si="63"/>
        <v>0</v>
      </c>
      <c r="U232" s="21" t="str">
        <f t="shared" si="64"/>
        <v>STOP</v>
      </c>
    </row>
    <row r="233" spans="1:21" x14ac:dyDescent="0.2">
      <c r="A233" s="24"/>
      <c r="B233" s="24"/>
      <c r="C233" s="24"/>
      <c r="D233" s="24"/>
      <c r="E233" s="24" t="s">
        <v>194</v>
      </c>
      <c r="F233" s="24"/>
      <c r="G233" s="38">
        <f>ROUND(SUM(G227:G232),5)</f>
        <v>115505</v>
      </c>
    </row>
    <row r="234" spans="1:21" x14ac:dyDescent="0.2">
      <c r="A234" s="24"/>
      <c r="B234" s="24"/>
      <c r="C234" s="24"/>
      <c r="D234" s="24"/>
      <c r="E234" s="56" t="s">
        <v>333</v>
      </c>
      <c r="F234" s="24"/>
      <c r="G234" s="8"/>
    </row>
    <row r="235" spans="1:21" x14ac:dyDescent="0.2">
      <c r="A235" s="24"/>
      <c r="B235" s="24"/>
      <c r="C235" s="24"/>
      <c r="D235" s="24"/>
      <c r="E235" s="24"/>
      <c r="F235" s="24" t="s">
        <v>195</v>
      </c>
      <c r="G235" s="46">
        <v>77250</v>
      </c>
      <c r="T235" s="60">
        <f t="shared" ref="T235:T238" si="65">SUM(H235:S235)</f>
        <v>0</v>
      </c>
      <c r="U235" s="21" t="str">
        <f t="shared" ref="U235:U238" si="66">IF(T235=G235,"","STOP")</f>
        <v>STOP</v>
      </c>
    </row>
    <row r="236" spans="1:21" x14ac:dyDescent="0.2">
      <c r="A236" s="24"/>
      <c r="B236" s="24"/>
      <c r="C236" s="24"/>
      <c r="D236" s="24"/>
      <c r="E236" s="24"/>
      <c r="F236" s="24" t="s">
        <v>196</v>
      </c>
      <c r="G236" s="46">
        <v>5910</v>
      </c>
      <c r="T236" s="60">
        <f t="shared" si="65"/>
        <v>0</v>
      </c>
      <c r="U236" s="21" t="str">
        <f t="shared" si="66"/>
        <v>STOP</v>
      </c>
    </row>
    <row r="237" spans="1:21" x14ac:dyDescent="0.2">
      <c r="A237" s="58"/>
      <c r="B237" s="58"/>
      <c r="C237" s="58"/>
      <c r="D237" s="58"/>
      <c r="E237" s="58"/>
      <c r="F237" s="58" t="s">
        <v>197</v>
      </c>
      <c r="G237" s="50">
        <v>300</v>
      </c>
      <c r="T237" s="60">
        <f t="shared" si="65"/>
        <v>0</v>
      </c>
      <c r="U237" s="21" t="str">
        <f t="shared" si="66"/>
        <v>STOP</v>
      </c>
    </row>
    <row r="238" spans="1:21" ht="10.8" thickBot="1" x14ac:dyDescent="0.25">
      <c r="A238" s="24"/>
      <c r="B238" s="24"/>
      <c r="C238" s="24"/>
      <c r="D238" s="24"/>
      <c r="E238" s="24"/>
      <c r="F238" s="24" t="s">
        <v>307</v>
      </c>
      <c r="G238" s="42">
        <v>625</v>
      </c>
      <c r="T238" s="60">
        <f t="shared" si="65"/>
        <v>0</v>
      </c>
      <c r="U238" s="21" t="str">
        <f t="shared" si="66"/>
        <v>STOP</v>
      </c>
    </row>
    <row r="239" spans="1:21" x14ac:dyDescent="0.2">
      <c r="A239" s="24"/>
      <c r="B239" s="24"/>
      <c r="C239" s="24"/>
      <c r="D239" s="24"/>
      <c r="E239" s="24" t="s">
        <v>198</v>
      </c>
      <c r="F239" s="24"/>
      <c r="G239" s="38">
        <f>SUM(G235:G238)</f>
        <v>84085</v>
      </c>
    </row>
    <row r="240" spans="1:21" x14ac:dyDescent="0.2">
      <c r="A240" s="24"/>
      <c r="B240" s="24"/>
      <c r="C240" s="24"/>
      <c r="D240" s="24"/>
      <c r="E240" s="24" t="s">
        <v>199</v>
      </c>
      <c r="F240" s="24"/>
      <c r="G240" s="8"/>
    </row>
    <row r="241" spans="1:21" x14ac:dyDescent="0.2">
      <c r="A241" s="24"/>
      <c r="B241" s="24"/>
      <c r="C241" s="24"/>
      <c r="D241" s="24"/>
      <c r="E241" s="24"/>
      <c r="F241" s="24" t="s">
        <v>200</v>
      </c>
      <c r="G241" s="47">
        <v>13000</v>
      </c>
      <c r="T241" s="60">
        <f t="shared" ref="T241:T244" si="67">SUM(H241:S241)</f>
        <v>0</v>
      </c>
      <c r="U241" s="21" t="str">
        <f t="shared" ref="U241:U244" si="68">IF(T241=G241,"","STOP")</f>
        <v>STOP</v>
      </c>
    </row>
    <row r="242" spans="1:21" x14ac:dyDescent="0.2">
      <c r="A242" s="24"/>
      <c r="B242" s="24"/>
      <c r="C242" s="24"/>
      <c r="D242" s="24"/>
      <c r="E242" s="24"/>
      <c r="F242" s="24" t="s">
        <v>201</v>
      </c>
      <c r="G242" s="47">
        <v>450</v>
      </c>
      <c r="T242" s="60">
        <f t="shared" si="67"/>
        <v>0</v>
      </c>
      <c r="U242" s="21" t="str">
        <f t="shared" si="68"/>
        <v>STOP</v>
      </c>
    </row>
    <row r="243" spans="1:21" x14ac:dyDescent="0.2">
      <c r="A243" s="24"/>
      <c r="B243" s="24"/>
      <c r="C243" s="24"/>
      <c r="D243" s="24"/>
      <c r="E243" s="24"/>
      <c r="F243" s="24" t="s">
        <v>202</v>
      </c>
      <c r="G243" s="47">
        <v>500</v>
      </c>
      <c r="T243" s="60">
        <f t="shared" si="67"/>
        <v>0</v>
      </c>
      <c r="U243" s="21" t="str">
        <f t="shared" si="68"/>
        <v>STOP</v>
      </c>
    </row>
    <row r="244" spans="1:21" ht="10.8" thickBot="1" x14ac:dyDescent="0.25">
      <c r="A244" s="24"/>
      <c r="B244" s="24"/>
      <c r="C244" s="24"/>
      <c r="D244" s="24"/>
      <c r="E244" s="24"/>
      <c r="F244" s="24" t="s">
        <v>203</v>
      </c>
      <c r="G244" s="39">
        <v>1200</v>
      </c>
      <c r="T244" s="60">
        <f t="shared" si="67"/>
        <v>0</v>
      </c>
      <c r="U244" s="21" t="str">
        <f t="shared" si="68"/>
        <v>STOP</v>
      </c>
    </row>
    <row r="245" spans="1:21" x14ac:dyDescent="0.2">
      <c r="A245" s="24"/>
      <c r="B245" s="24"/>
      <c r="C245" s="24"/>
      <c r="D245" s="24"/>
      <c r="E245" s="24" t="s">
        <v>204</v>
      </c>
      <c r="F245" s="24"/>
      <c r="G245" s="30">
        <f>SUM(G241:G244)</f>
        <v>15150</v>
      </c>
    </row>
    <row r="246" spans="1:21" x14ac:dyDescent="0.2">
      <c r="A246" s="24"/>
      <c r="B246" s="24"/>
      <c r="C246" s="24"/>
      <c r="D246" s="24"/>
      <c r="E246" s="24" t="s">
        <v>205</v>
      </c>
      <c r="F246" s="24"/>
      <c r="G246" s="8"/>
    </row>
    <row r="247" spans="1:21" x14ac:dyDescent="0.2">
      <c r="A247" s="24"/>
      <c r="B247" s="24"/>
      <c r="C247" s="24"/>
      <c r="D247" s="24"/>
      <c r="E247" s="24"/>
      <c r="F247" s="24" t="s">
        <v>206</v>
      </c>
      <c r="G247" s="46">
        <v>1200</v>
      </c>
      <c r="T247" s="60">
        <f t="shared" ref="T247:T249" si="69">SUM(H247:S247)</f>
        <v>0</v>
      </c>
      <c r="U247" s="21" t="str">
        <f t="shared" ref="U247:U249" si="70">IF(T247=G247,"","STOP")</f>
        <v>STOP</v>
      </c>
    </row>
    <row r="248" spans="1:21" x14ac:dyDescent="0.2">
      <c r="A248" s="24"/>
      <c r="B248" s="24"/>
      <c r="C248" s="24"/>
      <c r="D248" s="24"/>
      <c r="E248" s="24"/>
      <c r="F248" s="24" t="s">
        <v>207</v>
      </c>
      <c r="G248" s="47">
        <v>150</v>
      </c>
      <c r="T248" s="60">
        <f t="shared" si="69"/>
        <v>0</v>
      </c>
      <c r="U248" s="21" t="str">
        <f t="shared" si="70"/>
        <v>STOP</v>
      </c>
    </row>
    <row r="249" spans="1:21" ht="10.8" thickBot="1" x14ac:dyDescent="0.25">
      <c r="A249" s="24"/>
      <c r="B249" s="24"/>
      <c r="C249" s="24"/>
      <c r="D249" s="24"/>
      <c r="E249" s="24"/>
      <c r="F249" s="24" t="s">
        <v>208</v>
      </c>
      <c r="G249" s="42">
        <v>300</v>
      </c>
      <c r="T249" s="60">
        <f t="shared" si="69"/>
        <v>0</v>
      </c>
      <c r="U249" s="21" t="str">
        <f t="shared" si="70"/>
        <v>STOP</v>
      </c>
    </row>
    <row r="250" spans="1:21" x14ac:dyDescent="0.2">
      <c r="A250" s="24"/>
      <c r="B250" s="24"/>
      <c r="C250" s="24"/>
      <c r="D250" s="24"/>
      <c r="E250" s="24" t="s">
        <v>209</v>
      </c>
      <c r="F250" s="24"/>
      <c r="G250" s="30">
        <f>SUM(G247:G249)</f>
        <v>1650</v>
      </c>
    </row>
    <row r="251" spans="1:21" x14ac:dyDescent="0.2">
      <c r="A251" s="24"/>
      <c r="B251" s="24"/>
      <c r="C251" s="24"/>
      <c r="D251" s="24"/>
      <c r="E251" s="24" t="s">
        <v>210</v>
      </c>
      <c r="F251" s="24"/>
      <c r="G251" s="8"/>
    </row>
    <row r="252" spans="1:21" x14ac:dyDescent="0.2">
      <c r="A252" s="24"/>
      <c r="B252" s="24"/>
      <c r="C252" s="24"/>
      <c r="D252" s="24"/>
      <c r="E252" s="24"/>
      <c r="F252" s="24" t="s">
        <v>211</v>
      </c>
      <c r="G252" s="47">
        <v>5300</v>
      </c>
      <c r="T252" s="60">
        <f t="shared" ref="T252:T258" si="71">SUM(H252:S252)</f>
        <v>0</v>
      </c>
      <c r="U252" s="21" t="str">
        <f t="shared" ref="U252:U258" si="72">IF(T252=G252,"","STOP")</f>
        <v>STOP</v>
      </c>
    </row>
    <row r="253" spans="1:21" x14ac:dyDescent="0.2">
      <c r="A253" s="24"/>
      <c r="B253" s="24"/>
      <c r="C253" s="24"/>
      <c r="D253" s="24"/>
      <c r="E253" s="24"/>
      <c r="F253" s="24" t="s">
        <v>212</v>
      </c>
      <c r="G253" s="47">
        <v>0</v>
      </c>
      <c r="T253" s="60">
        <f t="shared" si="71"/>
        <v>0</v>
      </c>
      <c r="U253" s="21" t="str">
        <f t="shared" si="72"/>
        <v/>
      </c>
    </row>
    <row r="254" spans="1:21" x14ac:dyDescent="0.2">
      <c r="A254" s="24"/>
      <c r="B254" s="24"/>
      <c r="C254" s="24"/>
      <c r="D254" s="24"/>
      <c r="E254" s="24"/>
      <c r="F254" s="24" t="s">
        <v>297</v>
      </c>
      <c r="G254" s="47">
        <v>100</v>
      </c>
      <c r="T254" s="60">
        <f t="shared" si="71"/>
        <v>0</v>
      </c>
      <c r="U254" s="21" t="str">
        <f t="shared" si="72"/>
        <v>STOP</v>
      </c>
    </row>
    <row r="255" spans="1:21" x14ac:dyDescent="0.2">
      <c r="A255" s="24"/>
      <c r="B255" s="24"/>
      <c r="C255" s="24"/>
      <c r="D255" s="24"/>
      <c r="E255" s="24"/>
      <c r="F255" s="24" t="s">
        <v>213</v>
      </c>
      <c r="G255" s="47">
        <v>600</v>
      </c>
      <c r="T255" s="60">
        <f t="shared" si="71"/>
        <v>0</v>
      </c>
      <c r="U255" s="21" t="str">
        <f t="shared" si="72"/>
        <v>STOP</v>
      </c>
    </row>
    <row r="256" spans="1:21" x14ac:dyDescent="0.2">
      <c r="A256" s="24"/>
      <c r="B256" s="24"/>
      <c r="C256" s="24"/>
      <c r="D256" s="24"/>
      <c r="E256" s="24"/>
      <c r="F256" s="24" t="s">
        <v>214</v>
      </c>
      <c r="G256" s="47">
        <v>5000</v>
      </c>
      <c r="T256" s="60">
        <f t="shared" si="71"/>
        <v>0</v>
      </c>
      <c r="U256" s="21" t="str">
        <f t="shared" si="72"/>
        <v>STOP</v>
      </c>
    </row>
    <row r="257" spans="1:21" x14ac:dyDescent="0.2">
      <c r="A257" s="24"/>
      <c r="B257" s="24"/>
      <c r="C257" s="24"/>
      <c r="D257" s="24"/>
      <c r="E257" s="24"/>
      <c r="F257" s="24" t="s">
        <v>215</v>
      </c>
      <c r="G257" s="47">
        <v>1200</v>
      </c>
      <c r="T257" s="60">
        <f t="shared" si="71"/>
        <v>0</v>
      </c>
      <c r="U257" s="21" t="str">
        <f t="shared" si="72"/>
        <v>STOP</v>
      </c>
    </row>
    <row r="258" spans="1:21" ht="10.8" thickBot="1" x14ac:dyDescent="0.25">
      <c r="A258" s="24"/>
      <c r="B258" s="24"/>
      <c r="C258" s="24"/>
      <c r="D258" s="24"/>
      <c r="E258" s="24"/>
      <c r="F258" s="24" t="s">
        <v>216</v>
      </c>
      <c r="G258" s="48">
        <v>500</v>
      </c>
      <c r="T258" s="60">
        <f t="shared" si="71"/>
        <v>0</v>
      </c>
      <c r="U258" s="21" t="str">
        <f t="shared" si="72"/>
        <v>STOP</v>
      </c>
    </row>
    <row r="259" spans="1:21" ht="10.8" thickBot="1" x14ac:dyDescent="0.25">
      <c r="A259" s="24"/>
      <c r="B259" s="24"/>
      <c r="C259" s="24"/>
      <c r="D259" s="24"/>
      <c r="E259" s="24" t="s">
        <v>217</v>
      </c>
      <c r="F259" s="24"/>
      <c r="G259" s="34">
        <f>SUM(G252:G258)</f>
        <v>12700</v>
      </c>
    </row>
    <row r="260" spans="1:21" x14ac:dyDescent="0.2">
      <c r="A260" s="24"/>
      <c r="B260" s="24"/>
      <c r="C260" s="24"/>
      <c r="D260" s="24" t="s">
        <v>218</v>
      </c>
      <c r="E260" s="24"/>
      <c r="F260" s="24"/>
      <c r="G260" s="31">
        <f>ROUND(G226+G233+G239+G245+G250+G259,5)</f>
        <v>229090</v>
      </c>
    </row>
    <row r="261" spans="1:21" x14ac:dyDescent="0.2">
      <c r="A261" s="24"/>
      <c r="B261" s="24"/>
      <c r="C261" s="24"/>
      <c r="D261" s="24"/>
      <c r="E261" s="24"/>
      <c r="F261" s="24"/>
      <c r="G261" s="8"/>
    </row>
    <row r="262" spans="1:21" x14ac:dyDescent="0.2">
      <c r="A262" s="24"/>
      <c r="B262" s="24"/>
      <c r="C262" s="24"/>
      <c r="D262" s="24" t="s">
        <v>219</v>
      </c>
      <c r="E262" s="24"/>
      <c r="F262" s="28"/>
      <c r="G262" s="8"/>
    </row>
    <row r="263" spans="1:21" x14ac:dyDescent="0.2">
      <c r="A263" s="24"/>
      <c r="B263" s="24"/>
      <c r="C263" s="24"/>
      <c r="D263" s="24"/>
      <c r="E263" s="24" t="s">
        <v>220</v>
      </c>
      <c r="F263" s="24"/>
      <c r="G263" s="8"/>
    </row>
    <row r="264" spans="1:21" x14ac:dyDescent="0.2">
      <c r="A264" s="24"/>
      <c r="B264" s="24"/>
      <c r="C264" s="24"/>
      <c r="D264" s="24"/>
      <c r="E264" s="24"/>
      <c r="F264" s="24" t="s">
        <v>221</v>
      </c>
      <c r="G264" s="47">
        <v>57275</v>
      </c>
      <c r="T264" s="60">
        <f t="shared" ref="T264:T267" si="73">SUM(H264:S264)</f>
        <v>0</v>
      </c>
      <c r="U264" s="21" t="str">
        <f t="shared" ref="U264:U267" si="74">IF(T264=G264,"","STOP")</f>
        <v>STOP</v>
      </c>
    </row>
    <row r="265" spans="1:21" x14ac:dyDescent="0.2">
      <c r="A265" s="24"/>
      <c r="B265" s="24"/>
      <c r="C265" s="24"/>
      <c r="D265" s="24"/>
      <c r="E265" s="24"/>
      <c r="F265" s="24" t="s">
        <v>222</v>
      </c>
      <c r="G265" s="47">
        <v>4382</v>
      </c>
      <c r="T265" s="60">
        <f t="shared" si="73"/>
        <v>0</v>
      </c>
      <c r="U265" s="21" t="str">
        <f t="shared" si="74"/>
        <v>STOP</v>
      </c>
    </row>
    <row r="266" spans="1:21" x14ac:dyDescent="0.2">
      <c r="A266" s="58"/>
      <c r="B266" s="58"/>
      <c r="C266" s="58"/>
      <c r="D266" s="58"/>
      <c r="E266" s="58"/>
      <c r="F266" s="58" t="s">
        <v>223</v>
      </c>
      <c r="G266" s="48">
        <v>12399</v>
      </c>
      <c r="T266" s="60">
        <f t="shared" si="73"/>
        <v>0</v>
      </c>
      <c r="U266" s="21" t="str">
        <f t="shared" si="74"/>
        <v>STOP</v>
      </c>
    </row>
    <row r="267" spans="1:21" ht="10.8" thickBot="1" x14ac:dyDescent="0.25">
      <c r="A267" s="24"/>
      <c r="B267" s="24"/>
      <c r="C267" s="24"/>
      <c r="D267" s="24"/>
      <c r="E267" s="24"/>
      <c r="F267" s="24" t="s">
        <v>304</v>
      </c>
      <c r="G267" s="42">
        <v>452</v>
      </c>
      <c r="T267" s="60">
        <f t="shared" si="73"/>
        <v>0</v>
      </c>
      <c r="U267" s="21" t="str">
        <f t="shared" si="74"/>
        <v>STOP</v>
      </c>
    </row>
    <row r="268" spans="1:21" x14ac:dyDescent="0.2">
      <c r="A268" s="24"/>
      <c r="B268" s="24"/>
      <c r="C268" s="24"/>
      <c r="D268" s="24"/>
      <c r="E268" s="24" t="s">
        <v>224</v>
      </c>
      <c r="F268" s="24"/>
      <c r="G268" s="30">
        <f>ROUND(SUM(G263:G267),5)</f>
        <v>74508</v>
      </c>
    </row>
    <row r="269" spans="1:21" x14ac:dyDescent="0.2">
      <c r="A269" s="24"/>
      <c r="B269" s="24"/>
      <c r="C269" s="24"/>
      <c r="D269" s="24"/>
      <c r="E269" s="24" t="s">
        <v>225</v>
      </c>
      <c r="F269" s="24"/>
      <c r="G269" s="8"/>
    </row>
    <row r="270" spans="1:21" ht="10.8" thickBot="1" x14ac:dyDescent="0.25">
      <c r="A270" s="24"/>
      <c r="B270" s="24"/>
      <c r="C270" s="24"/>
      <c r="D270" s="24"/>
      <c r="E270" s="24"/>
      <c r="F270" s="24" t="s">
        <v>226</v>
      </c>
      <c r="G270" s="39">
        <v>1800</v>
      </c>
      <c r="T270" s="60">
        <f t="shared" ref="T270" si="75">SUM(H270:S270)</f>
        <v>0</v>
      </c>
      <c r="U270" s="21" t="str">
        <f t="shared" ref="U270" si="76">IF(T270=G270,"","STOP")</f>
        <v>STOP</v>
      </c>
    </row>
    <row r="271" spans="1:21" x14ac:dyDescent="0.2">
      <c r="A271" s="24"/>
      <c r="B271" s="24"/>
      <c r="C271" s="24"/>
      <c r="D271" s="24"/>
      <c r="E271" s="24" t="s">
        <v>227</v>
      </c>
      <c r="F271" s="24"/>
      <c r="G271" s="30">
        <f>SUM(G270)</f>
        <v>1800</v>
      </c>
    </row>
    <row r="272" spans="1:21" x14ac:dyDescent="0.2">
      <c r="A272" s="24"/>
      <c r="B272" s="24"/>
      <c r="C272" s="24"/>
      <c r="D272" s="24"/>
      <c r="E272" s="24" t="s">
        <v>228</v>
      </c>
      <c r="F272" s="24"/>
      <c r="G272" s="8"/>
    </row>
    <row r="273" spans="1:21" x14ac:dyDescent="0.2">
      <c r="A273" s="24"/>
      <c r="B273" s="24"/>
      <c r="C273" s="24"/>
      <c r="D273" s="24"/>
      <c r="E273" s="24"/>
      <c r="F273" s="24" t="s">
        <v>229</v>
      </c>
      <c r="G273" s="47">
        <v>700</v>
      </c>
      <c r="T273" s="60">
        <f t="shared" ref="T273:T276" si="77">SUM(H273:S273)</f>
        <v>0</v>
      </c>
      <c r="U273" s="21" t="str">
        <f t="shared" ref="U273:U276" si="78">IF(T273=G273,"","STOP")</f>
        <v>STOP</v>
      </c>
    </row>
    <row r="274" spans="1:21" x14ac:dyDescent="0.2">
      <c r="A274" s="24"/>
      <c r="B274" s="24"/>
      <c r="C274" s="24"/>
      <c r="D274" s="24"/>
      <c r="E274" s="24"/>
      <c r="F274" s="24" t="s">
        <v>315</v>
      </c>
      <c r="G274" s="47"/>
      <c r="T274" s="60">
        <f t="shared" si="77"/>
        <v>0</v>
      </c>
      <c r="U274" s="21" t="str">
        <f t="shared" si="78"/>
        <v/>
      </c>
    </row>
    <row r="275" spans="1:21" x14ac:dyDescent="0.2">
      <c r="A275" s="24"/>
      <c r="B275" s="24"/>
      <c r="C275" s="24"/>
      <c r="D275" s="24"/>
      <c r="E275" s="24"/>
      <c r="F275" s="24" t="s">
        <v>298</v>
      </c>
      <c r="G275" s="46">
        <v>1900</v>
      </c>
      <c r="T275" s="60">
        <f t="shared" si="77"/>
        <v>0</v>
      </c>
      <c r="U275" s="21" t="str">
        <f t="shared" si="78"/>
        <v>STOP</v>
      </c>
    </row>
    <row r="276" spans="1:21" ht="10.8" thickBot="1" x14ac:dyDescent="0.25">
      <c r="A276" s="24"/>
      <c r="B276" s="24"/>
      <c r="C276" s="24"/>
      <c r="D276" s="24"/>
      <c r="E276" s="24"/>
      <c r="F276" s="24" t="s">
        <v>230</v>
      </c>
      <c r="G276" s="39">
        <v>800</v>
      </c>
      <c r="T276" s="60">
        <f t="shared" si="77"/>
        <v>0</v>
      </c>
      <c r="U276" s="21" t="str">
        <f t="shared" si="78"/>
        <v>STOP</v>
      </c>
    </row>
    <row r="277" spans="1:21" ht="10.8" thickBot="1" x14ac:dyDescent="0.25">
      <c r="A277" s="24"/>
      <c r="B277" s="24"/>
      <c r="C277" s="24"/>
      <c r="D277" s="24"/>
      <c r="E277" s="24" t="s">
        <v>231</v>
      </c>
      <c r="F277" s="24"/>
      <c r="G277" s="36">
        <f>SUM(G273:G276)</f>
        <v>3400</v>
      </c>
    </row>
    <row r="278" spans="1:21" x14ac:dyDescent="0.2">
      <c r="A278" s="24"/>
      <c r="B278" s="24"/>
      <c r="C278" s="24"/>
      <c r="D278" s="24" t="s">
        <v>232</v>
      </c>
      <c r="E278" s="24"/>
      <c r="F278" s="24"/>
      <c r="G278" s="30">
        <f>ROUND(G262+G268+G271+SUM(G277:G277),5)</f>
        <v>79708</v>
      </c>
    </row>
    <row r="279" spans="1:21" x14ac:dyDescent="0.2">
      <c r="A279" s="24"/>
      <c r="B279" s="24"/>
      <c r="C279" s="24"/>
      <c r="D279" s="24"/>
      <c r="E279" s="24"/>
      <c r="F279" s="24"/>
      <c r="G279" s="8"/>
    </row>
    <row r="280" spans="1:21" x14ac:dyDescent="0.2">
      <c r="A280" s="24"/>
      <c r="B280" s="24"/>
      <c r="C280" s="24"/>
      <c r="D280" s="24" t="s">
        <v>233</v>
      </c>
      <c r="E280" s="24"/>
      <c r="F280" s="24"/>
      <c r="G280" s="8"/>
    </row>
    <row r="281" spans="1:21" x14ac:dyDescent="0.2">
      <c r="A281" s="24"/>
      <c r="B281" s="24"/>
      <c r="C281" s="24"/>
      <c r="D281" s="24"/>
      <c r="E281" s="24" t="s">
        <v>234</v>
      </c>
      <c r="F281" s="24"/>
      <c r="G281" s="8"/>
    </row>
    <row r="282" spans="1:21" x14ac:dyDescent="0.2">
      <c r="A282" s="24"/>
      <c r="B282" s="24"/>
      <c r="C282" s="24"/>
      <c r="D282" s="24"/>
      <c r="E282" s="24"/>
      <c r="F282" s="24" t="s">
        <v>314</v>
      </c>
      <c r="G282" s="46">
        <v>58488</v>
      </c>
      <c r="T282" s="60">
        <f t="shared" ref="T282:T286" si="79">SUM(H282:S282)</f>
        <v>0</v>
      </c>
      <c r="U282" s="21" t="str">
        <f t="shared" ref="U282:U286" si="80">IF(T282=G282,"","STOP")</f>
        <v>STOP</v>
      </c>
    </row>
    <row r="283" spans="1:21" x14ac:dyDescent="0.2">
      <c r="A283" s="24"/>
      <c r="B283" s="24"/>
      <c r="C283" s="24"/>
      <c r="D283" s="24"/>
      <c r="E283" s="24"/>
      <c r="F283" s="28" t="s">
        <v>285</v>
      </c>
      <c r="G283" s="46" t="s">
        <v>281</v>
      </c>
      <c r="T283" s="60">
        <f t="shared" si="79"/>
        <v>0</v>
      </c>
      <c r="U283" s="21" t="str">
        <f t="shared" si="80"/>
        <v>STOP</v>
      </c>
    </row>
    <row r="284" spans="1:21" x14ac:dyDescent="0.2">
      <c r="A284" s="24"/>
      <c r="B284" s="24"/>
      <c r="C284" s="24"/>
      <c r="D284" s="24"/>
      <c r="E284" s="24"/>
      <c r="F284" s="24" t="s">
        <v>235</v>
      </c>
      <c r="G284" s="46">
        <v>4475</v>
      </c>
      <c r="T284" s="60">
        <f t="shared" si="79"/>
        <v>0</v>
      </c>
      <c r="U284" s="21" t="str">
        <f t="shared" si="80"/>
        <v>STOP</v>
      </c>
    </row>
    <row r="285" spans="1:21" x14ac:dyDescent="0.2">
      <c r="A285" s="58"/>
      <c r="B285" s="58"/>
      <c r="C285" s="58"/>
      <c r="D285" s="58"/>
      <c r="E285" s="58"/>
      <c r="F285" s="58" t="s">
        <v>236</v>
      </c>
      <c r="G285" s="50">
        <v>75</v>
      </c>
      <c r="T285" s="60">
        <f t="shared" si="79"/>
        <v>0</v>
      </c>
      <c r="U285" s="21" t="str">
        <f t="shared" si="80"/>
        <v>STOP</v>
      </c>
    </row>
    <row r="286" spans="1:21" ht="10.8" thickBot="1" x14ac:dyDescent="0.25">
      <c r="A286" s="24"/>
      <c r="B286" s="24"/>
      <c r="C286" s="24"/>
      <c r="D286" s="24"/>
      <c r="E286" s="24"/>
      <c r="F286" s="24" t="s">
        <v>305</v>
      </c>
      <c r="G286" s="42">
        <v>155</v>
      </c>
      <c r="T286" s="60">
        <f t="shared" si="79"/>
        <v>0</v>
      </c>
      <c r="U286" s="21" t="str">
        <f t="shared" si="80"/>
        <v>STOP</v>
      </c>
    </row>
    <row r="287" spans="1:21" x14ac:dyDescent="0.2">
      <c r="A287" s="24"/>
      <c r="B287" s="24"/>
      <c r="C287" s="24"/>
      <c r="D287" s="24"/>
      <c r="E287" s="24" t="s">
        <v>237</v>
      </c>
      <c r="F287" s="24"/>
      <c r="G287" s="38">
        <f>SUM(G282:G286)</f>
        <v>63193</v>
      </c>
    </row>
    <row r="288" spans="1:21" x14ac:dyDescent="0.2">
      <c r="A288" s="24"/>
      <c r="B288" s="24"/>
      <c r="C288" s="24"/>
      <c r="D288" s="24"/>
      <c r="E288" s="24" t="s">
        <v>238</v>
      </c>
      <c r="F288" s="24"/>
      <c r="G288" s="8"/>
    </row>
    <row r="289" spans="1:21" x14ac:dyDescent="0.2">
      <c r="A289" s="24"/>
      <c r="B289" s="24"/>
      <c r="C289" s="24"/>
      <c r="D289" s="24"/>
      <c r="E289" s="24"/>
      <c r="F289" s="24" t="s">
        <v>239</v>
      </c>
      <c r="G289" s="47">
        <v>600</v>
      </c>
      <c r="T289" s="60">
        <f t="shared" ref="T289:T293" si="81">SUM(H289:S289)</f>
        <v>0</v>
      </c>
      <c r="U289" s="21" t="str">
        <f t="shared" ref="U289:U293" si="82">IF(T289=G289,"","STOP")</f>
        <v>STOP</v>
      </c>
    </row>
    <row r="290" spans="1:21" x14ac:dyDescent="0.2">
      <c r="A290" s="24"/>
      <c r="B290" s="24"/>
      <c r="C290" s="24"/>
      <c r="D290" s="24"/>
      <c r="E290" s="24"/>
      <c r="F290" s="24" t="s">
        <v>240</v>
      </c>
      <c r="G290" s="47">
        <v>250</v>
      </c>
      <c r="T290" s="60">
        <f t="shared" si="81"/>
        <v>0</v>
      </c>
      <c r="U290" s="21" t="str">
        <f t="shared" si="82"/>
        <v>STOP</v>
      </c>
    </row>
    <row r="291" spans="1:21" x14ac:dyDescent="0.2">
      <c r="A291" s="24"/>
      <c r="B291" s="24"/>
      <c r="C291" s="24"/>
      <c r="D291" s="24"/>
      <c r="E291" s="24"/>
      <c r="F291" s="24" t="s">
        <v>241</v>
      </c>
      <c r="G291" s="47">
        <v>1200</v>
      </c>
      <c r="T291" s="60">
        <f t="shared" si="81"/>
        <v>0</v>
      </c>
      <c r="U291" s="21" t="str">
        <f t="shared" si="82"/>
        <v>STOP</v>
      </c>
    </row>
    <row r="292" spans="1:21" x14ac:dyDescent="0.2">
      <c r="A292" s="24"/>
      <c r="B292" s="24"/>
      <c r="C292" s="24"/>
      <c r="D292" s="24"/>
      <c r="E292" s="24"/>
      <c r="F292" s="24" t="s">
        <v>242</v>
      </c>
      <c r="G292" s="47">
        <v>2200</v>
      </c>
      <c r="T292" s="60">
        <f t="shared" si="81"/>
        <v>0</v>
      </c>
      <c r="U292" s="21" t="str">
        <f t="shared" si="82"/>
        <v>STOP</v>
      </c>
    </row>
    <row r="293" spans="1:21" ht="10.8" thickBot="1" x14ac:dyDescent="0.25">
      <c r="A293" s="24"/>
      <c r="B293" s="24"/>
      <c r="C293" s="24"/>
      <c r="D293" s="24"/>
      <c r="E293" s="24"/>
      <c r="F293" s="24" t="s">
        <v>243</v>
      </c>
      <c r="G293" s="48">
        <v>1800</v>
      </c>
      <c r="T293" s="60">
        <f t="shared" si="81"/>
        <v>0</v>
      </c>
      <c r="U293" s="21" t="str">
        <f t="shared" si="82"/>
        <v>STOP</v>
      </c>
    </row>
    <row r="294" spans="1:21" ht="10.8" thickBot="1" x14ac:dyDescent="0.25">
      <c r="A294" s="24"/>
      <c r="B294" s="24"/>
      <c r="C294" s="24"/>
      <c r="D294" s="24"/>
      <c r="E294" s="24" t="s">
        <v>244</v>
      </c>
      <c r="F294" s="24"/>
      <c r="G294" s="37">
        <f>SUM(G289:G293)</f>
        <v>6050</v>
      </c>
    </row>
    <row r="295" spans="1:21" x14ac:dyDescent="0.2">
      <c r="A295" s="24"/>
      <c r="B295" s="24"/>
      <c r="C295" s="24"/>
      <c r="D295" s="24" t="s">
        <v>245</v>
      </c>
      <c r="E295" s="24"/>
      <c r="F295" s="24"/>
      <c r="G295" s="30">
        <f>ROUND(G280+G287+G294,5)</f>
        <v>69243</v>
      </c>
    </row>
    <row r="296" spans="1:21" x14ac:dyDescent="0.2">
      <c r="A296" s="24"/>
      <c r="B296" s="24"/>
      <c r="C296" s="24"/>
      <c r="D296" s="24"/>
      <c r="E296" s="24"/>
      <c r="F296" s="24"/>
      <c r="G296" s="8"/>
    </row>
    <row r="297" spans="1:21" x14ac:dyDescent="0.2">
      <c r="A297" s="24"/>
      <c r="B297" s="24"/>
      <c r="C297" s="24"/>
      <c r="D297" s="24" t="s">
        <v>246</v>
      </c>
      <c r="E297" s="24"/>
      <c r="F297" s="24"/>
      <c r="G297" s="8"/>
    </row>
    <row r="298" spans="1:21" x14ac:dyDescent="0.2">
      <c r="A298" s="24"/>
      <c r="B298" s="24"/>
      <c r="C298" s="24"/>
      <c r="D298" s="24"/>
      <c r="E298" s="24" t="s">
        <v>247</v>
      </c>
      <c r="F298" s="24"/>
      <c r="G298" s="8"/>
    </row>
    <row r="299" spans="1:21" x14ac:dyDescent="0.2">
      <c r="A299" s="24"/>
      <c r="B299" s="24"/>
      <c r="C299" s="24"/>
      <c r="D299" s="24"/>
      <c r="E299" s="24"/>
      <c r="F299" s="56" t="s">
        <v>248</v>
      </c>
      <c r="G299" s="46">
        <v>327756</v>
      </c>
      <c r="T299" s="60">
        <f t="shared" ref="T299:T303" si="83">SUM(H299:S299)</f>
        <v>0</v>
      </c>
      <c r="U299" s="21" t="str">
        <f t="shared" ref="U299:U303" si="84">IF(T299=G299,"","STOP")</f>
        <v>STOP</v>
      </c>
    </row>
    <row r="300" spans="1:21" x14ac:dyDescent="0.2">
      <c r="A300" s="24"/>
      <c r="B300" s="24"/>
      <c r="C300" s="24"/>
      <c r="D300" s="24"/>
      <c r="E300" s="24"/>
      <c r="F300" s="56" t="s">
        <v>249</v>
      </c>
      <c r="G300" s="46">
        <v>25074</v>
      </c>
      <c r="T300" s="60">
        <f t="shared" si="83"/>
        <v>0</v>
      </c>
      <c r="U300" s="21" t="str">
        <f t="shared" si="84"/>
        <v>STOP</v>
      </c>
    </row>
    <row r="301" spans="1:21" x14ac:dyDescent="0.2">
      <c r="A301" s="24"/>
      <c r="B301" s="24"/>
      <c r="C301" s="24"/>
      <c r="D301" s="24"/>
      <c r="E301" s="24"/>
      <c r="F301" s="24" t="s">
        <v>250</v>
      </c>
      <c r="G301" s="46">
        <v>419</v>
      </c>
      <c r="T301" s="60">
        <f t="shared" si="83"/>
        <v>0</v>
      </c>
      <c r="U301" s="21" t="str">
        <f t="shared" si="84"/>
        <v>STOP</v>
      </c>
    </row>
    <row r="302" spans="1:21" x14ac:dyDescent="0.2">
      <c r="A302" s="58"/>
      <c r="B302" s="58"/>
      <c r="C302" s="58"/>
      <c r="D302" s="58"/>
      <c r="E302" s="58"/>
      <c r="F302" s="58" t="s">
        <v>251</v>
      </c>
      <c r="G302" s="50">
        <v>7000</v>
      </c>
      <c r="T302" s="60">
        <f t="shared" si="83"/>
        <v>0</v>
      </c>
      <c r="U302" s="21" t="str">
        <f t="shared" si="84"/>
        <v>STOP</v>
      </c>
    </row>
    <row r="303" spans="1:21" ht="10.8" thickBot="1" x14ac:dyDescent="0.25">
      <c r="A303" s="24"/>
      <c r="B303" s="24"/>
      <c r="C303" s="24"/>
      <c r="D303" s="24"/>
      <c r="E303" s="24"/>
      <c r="F303" s="56" t="s">
        <v>304</v>
      </c>
      <c r="G303" s="42">
        <v>20452</v>
      </c>
      <c r="T303" s="60">
        <f t="shared" si="83"/>
        <v>0</v>
      </c>
      <c r="U303" s="21" t="str">
        <f t="shared" si="84"/>
        <v>STOP</v>
      </c>
    </row>
    <row r="304" spans="1:21" x14ac:dyDescent="0.2">
      <c r="A304" s="24"/>
      <c r="B304" s="24"/>
      <c r="C304" s="24"/>
      <c r="D304" s="24"/>
      <c r="E304" s="24" t="s">
        <v>252</v>
      </c>
      <c r="F304" s="24"/>
      <c r="G304" s="30">
        <f>SUM(G299:G303)</f>
        <v>380701</v>
      </c>
    </row>
    <row r="305" spans="1:21" x14ac:dyDescent="0.2">
      <c r="A305" s="24"/>
      <c r="B305" s="24"/>
      <c r="C305" s="24"/>
      <c r="D305" s="24"/>
      <c r="E305" s="24" t="s">
        <v>253</v>
      </c>
      <c r="F305" s="24"/>
      <c r="G305" s="8"/>
    </row>
    <row r="306" spans="1:21" x14ac:dyDescent="0.2">
      <c r="A306" s="24"/>
      <c r="B306" s="24"/>
      <c r="C306" s="24"/>
      <c r="D306" s="24"/>
      <c r="E306" s="24"/>
      <c r="F306" s="24" t="s">
        <v>254</v>
      </c>
      <c r="G306" s="47">
        <v>7400</v>
      </c>
      <c r="T306" s="60">
        <f t="shared" ref="T306:T309" si="85">SUM(H306:S306)</f>
        <v>0</v>
      </c>
      <c r="U306" s="21" t="str">
        <f t="shared" ref="U306:U309" si="86">IF(T306=G306,"","STOP")</f>
        <v>STOP</v>
      </c>
    </row>
    <row r="307" spans="1:21" x14ac:dyDescent="0.2">
      <c r="A307" s="24"/>
      <c r="B307" s="24"/>
      <c r="C307" s="24"/>
      <c r="D307" s="24"/>
      <c r="E307" s="24"/>
      <c r="F307" s="24" t="s">
        <v>255</v>
      </c>
      <c r="G307" s="47">
        <v>600</v>
      </c>
      <c r="T307" s="60">
        <f t="shared" si="85"/>
        <v>0</v>
      </c>
      <c r="U307" s="21" t="str">
        <f t="shared" si="86"/>
        <v>STOP</v>
      </c>
    </row>
    <row r="308" spans="1:21" x14ac:dyDescent="0.2">
      <c r="A308" s="24"/>
      <c r="B308" s="24"/>
      <c r="C308" s="24"/>
      <c r="D308" s="24"/>
      <c r="E308" s="24"/>
      <c r="F308" s="24" t="s">
        <v>256</v>
      </c>
      <c r="G308" s="47">
        <v>4000</v>
      </c>
      <c r="T308" s="60">
        <f t="shared" si="85"/>
        <v>0</v>
      </c>
      <c r="U308" s="21" t="str">
        <f t="shared" si="86"/>
        <v>STOP</v>
      </c>
    </row>
    <row r="309" spans="1:21" ht="10.8" thickBot="1" x14ac:dyDescent="0.25">
      <c r="A309" s="24"/>
      <c r="B309" s="24"/>
      <c r="C309" s="24"/>
      <c r="D309" s="24"/>
      <c r="E309" s="24"/>
      <c r="F309" s="24" t="s">
        <v>299</v>
      </c>
      <c r="G309" s="39">
        <v>0</v>
      </c>
      <c r="T309" s="60">
        <f t="shared" si="85"/>
        <v>0</v>
      </c>
      <c r="U309" s="21" t="str">
        <f t="shared" si="86"/>
        <v/>
      </c>
    </row>
    <row r="310" spans="1:21" x14ac:dyDescent="0.2">
      <c r="A310" s="24"/>
      <c r="B310" s="24"/>
      <c r="C310" s="24"/>
      <c r="D310" s="24"/>
      <c r="E310" s="24" t="s">
        <v>257</v>
      </c>
      <c r="F310" s="24"/>
      <c r="G310" s="31">
        <f>SUM(G306:G309)</f>
        <v>12000</v>
      </c>
    </row>
    <row r="311" spans="1:21" x14ac:dyDescent="0.2">
      <c r="A311" s="24"/>
      <c r="B311" s="24"/>
      <c r="C311" s="24"/>
      <c r="D311" s="24"/>
      <c r="E311" s="24" t="s">
        <v>258</v>
      </c>
      <c r="F311" s="24"/>
      <c r="G311" s="8"/>
    </row>
    <row r="312" spans="1:21" x14ac:dyDescent="0.2">
      <c r="A312" s="24"/>
      <c r="B312" s="24"/>
      <c r="C312" s="24"/>
      <c r="D312" s="24"/>
      <c r="E312" s="24"/>
      <c r="F312" s="24" t="s">
        <v>259</v>
      </c>
      <c r="G312" s="47">
        <v>400</v>
      </c>
      <c r="T312" s="60">
        <f t="shared" ref="T312:T313" si="87">SUM(H312:S312)</f>
        <v>0</v>
      </c>
      <c r="U312" s="21" t="str">
        <f t="shared" ref="U312:U313" si="88">IF(T312=G312,"","STOP")</f>
        <v>STOP</v>
      </c>
    </row>
    <row r="313" spans="1:21" ht="10.8" thickBot="1" x14ac:dyDescent="0.25">
      <c r="A313" s="24"/>
      <c r="B313" s="24"/>
      <c r="C313" s="24"/>
      <c r="D313" s="24"/>
      <c r="E313" s="24"/>
      <c r="F313" s="24" t="s">
        <v>284</v>
      </c>
      <c r="G313" s="39">
        <v>0</v>
      </c>
      <c r="T313" s="60">
        <f t="shared" si="87"/>
        <v>0</v>
      </c>
      <c r="U313" s="21" t="str">
        <f t="shared" si="88"/>
        <v/>
      </c>
    </row>
    <row r="314" spans="1:21" x14ac:dyDescent="0.2">
      <c r="A314" s="24"/>
      <c r="B314" s="24"/>
      <c r="C314" s="24"/>
      <c r="D314" s="24"/>
      <c r="E314" s="24" t="s">
        <v>260</v>
      </c>
      <c r="F314" s="24"/>
      <c r="G314" s="30">
        <f>SUM(G312:G313)</f>
        <v>400</v>
      </c>
    </row>
    <row r="315" spans="1:21" x14ac:dyDescent="0.2">
      <c r="A315" s="24"/>
      <c r="B315" s="24"/>
      <c r="C315" s="24"/>
      <c r="D315" s="24"/>
      <c r="E315" s="24" t="s">
        <v>261</v>
      </c>
      <c r="F315" s="24"/>
      <c r="G315" s="8"/>
    </row>
    <row r="316" spans="1:21" x14ac:dyDescent="0.2">
      <c r="A316" s="24"/>
      <c r="B316" s="24"/>
      <c r="C316" s="24"/>
      <c r="D316" s="24"/>
      <c r="E316" s="24"/>
      <c r="F316" s="24" t="s">
        <v>262</v>
      </c>
      <c r="G316" s="47">
        <f>-G3151</f>
        <v>0</v>
      </c>
      <c r="T316" s="60">
        <f t="shared" ref="T316:T323" si="89">SUM(H316:S316)</f>
        <v>0</v>
      </c>
      <c r="U316" s="21" t="str">
        <f t="shared" ref="U316:U323" si="90">IF(T316=G316,"","STOP")</f>
        <v/>
      </c>
    </row>
    <row r="317" spans="1:21" x14ac:dyDescent="0.2">
      <c r="A317" s="24"/>
      <c r="B317" s="24"/>
      <c r="C317" s="24"/>
      <c r="D317" s="24"/>
      <c r="E317" s="24"/>
      <c r="F317" s="24" t="s">
        <v>263</v>
      </c>
      <c r="G317" s="46">
        <v>984</v>
      </c>
      <c r="T317" s="60">
        <f t="shared" si="89"/>
        <v>0</v>
      </c>
      <c r="U317" s="21" t="str">
        <f t="shared" si="90"/>
        <v>STOP</v>
      </c>
    </row>
    <row r="318" spans="1:21" x14ac:dyDescent="0.2">
      <c r="A318" s="24"/>
      <c r="B318" s="24"/>
      <c r="C318" s="24"/>
      <c r="D318" s="24"/>
      <c r="E318" s="24"/>
      <c r="F318" s="24" t="s">
        <v>264</v>
      </c>
      <c r="G318" s="47">
        <v>750</v>
      </c>
      <c r="T318" s="60">
        <f t="shared" si="89"/>
        <v>0</v>
      </c>
      <c r="U318" s="21" t="str">
        <f t="shared" si="90"/>
        <v>STOP</v>
      </c>
    </row>
    <row r="319" spans="1:21" x14ac:dyDescent="0.2">
      <c r="A319" s="24"/>
      <c r="B319" s="24"/>
      <c r="C319" s="24"/>
      <c r="D319" s="24"/>
      <c r="E319" s="24"/>
      <c r="F319" s="24" t="s">
        <v>301</v>
      </c>
      <c r="G319" s="47">
        <v>7085</v>
      </c>
      <c r="T319" s="60">
        <f t="shared" si="89"/>
        <v>0</v>
      </c>
      <c r="U319" s="21" t="str">
        <f t="shared" si="90"/>
        <v>STOP</v>
      </c>
    </row>
    <row r="320" spans="1:21" x14ac:dyDescent="0.2">
      <c r="A320" s="24"/>
      <c r="B320" s="24"/>
      <c r="C320" s="24"/>
      <c r="D320" s="24"/>
      <c r="E320" s="24"/>
      <c r="F320" s="24" t="s">
        <v>265</v>
      </c>
      <c r="G320" s="47">
        <v>200</v>
      </c>
      <c r="T320" s="60">
        <f t="shared" si="89"/>
        <v>0</v>
      </c>
      <c r="U320" s="21" t="str">
        <f t="shared" si="90"/>
        <v>STOP</v>
      </c>
    </row>
    <row r="321" spans="1:21" x14ac:dyDescent="0.2">
      <c r="A321" s="24"/>
      <c r="B321" s="24"/>
      <c r="C321" s="24"/>
      <c r="D321" s="24"/>
      <c r="E321" s="24"/>
      <c r="F321" s="24" t="s">
        <v>302</v>
      </c>
      <c r="G321" s="46">
        <v>3845</v>
      </c>
      <c r="T321" s="60">
        <f t="shared" si="89"/>
        <v>0</v>
      </c>
      <c r="U321" s="21" t="str">
        <f t="shared" si="90"/>
        <v>STOP</v>
      </c>
    </row>
    <row r="322" spans="1:21" x14ac:dyDescent="0.2">
      <c r="A322" s="24"/>
      <c r="B322" s="24"/>
      <c r="C322" s="24"/>
      <c r="D322" s="24"/>
      <c r="E322" s="24"/>
      <c r="F322" s="24" t="s">
        <v>266</v>
      </c>
      <c r="G322" s="46">
        <v>10000</v>
      </c>
      <c r="T322" s="60">
        <f t="shared" si="89"/>
        <v>0</v>
      </c>
      <c r="U322" s="21" t="str">
        <f t="shared" si="90"/>
        <v>STOP</v>
      </c>
    </row>
    <row r="323" spans="1:21" ht="10.8" thickBot="1" x14ac:dyDescent="0.25">
      <c r="A323" s="24"/>
      <c r="B323" s="24"/>
      <c r="C323" s="24"/>
      <c r="D323" s="24"/>
      <c r="E323" s="24"/>
      <c r="F323" s="24" t="s">
        <v>267</v>
      </c>
      <c r="G323" s="48">
        <v>1800</v>
      </c>
      <c r="T323" s="60">
        <f t="shared" si="89"/>
        <v>0</v>
      </c>
      <c r="U323" s="21" t="str">
        <f t="shared" si="90"/>
        <v>STOP</v>
      </c>
    </row>
    <row r="324" spans="1:21" ht="10.8" thickBot="1" x14ac:dyDescent="0.25">
      <c r="A324" s="24"/>
      <c r="B324" s="24"/>
      <c r="C324" s="24"/>
      <c r="D324" s="24"/>
      <c r="E324" s="24" t="s">
        <v>268</v>
      </c>
      <c r="F324" s="24"/>
      <c r="G324" s="12">
        <f>ROUND(SUM(G315:G323),5)</f>
        <v>24664</v>
      </c>
    </row>
    <row r="325" spans="1:21" ht="10.8" thickBot="1" x14ac:dyDescent="0.25">
      <c r="A325" s="24"/>
      <c r="B325" s="24"/>
      <c r="C325" s="24"/>
      <c r="D325" s="24" t="s">
        <v>334</v>
      </c>
      <c r="E325" s="24"/>
      <c r="F325" s="24"/>
      <c r="G325" s="12">
        <f>ROUND(G297+G304+G310+G314+G324,5)</f>
        <v>417765</v>
      </c>
    </row>
    <row r="326" spans="1:21" ht="10.8" thickBot="1" x14ac:dyDescent="0.25">
      <c r="A326" s="24"/>
      <c r="B326" s="24"/>
      <c r="C326" s="24" t="s">
        <v>269</v>
      </c>
      <c r="D326" s="24"/>
      <c r="E326" s="24"/>
      <c r="F326" s="24"/>
      <c r="G326" s="12">
        <f>ROUND(G83+G120+G154+G201+G224+G260+G278+G295+G325,5)</f>
        <v>3479194</v>
      </c>
      <c r="T326" s="60">
        <f>SUM(T87:T325)</f>
        <v>0</v>
      </c>
    </row>
    <row r="327" spans="1:21" ht="10.8" thickBot="1" x14ac:dyDescent="0.25">
      <c r="A327" s="24" t="s">
        <v>270</v>
      </c>
      <c r="B327" s="24"/>
      <c r="C327" s="24"/>
      <c r="D327" s="24"/>
      <c r="E327" s="24"/>
      <c r="F327" s="24"/>
      <c r="G327" s="45">
        <f>ROUND(G3+G81-G326,5)</f>
        <v>41306</v>
      </c>
      <c r="T327" s="60">
        <f>+T81-T326</f>
        <v>3520500</v>
      </c>
    </row>
    <row r="328" spans="1:21" ht="10.8" thickBot="1" x14ac:dyDescent="0.25">
      <c r="A328" s="24"/>
      <c r="B328" s="24"/>
      <c r="C328" s="24"/>
      <c r="D328" s="24"/>
      <c r="E328" s="24"/>
      <c r="F328" s="24"/>
      <c r="G328" s="44">
        <f>G327</f>
        <v>41306</v>
      </c>
    </row>
    <row r="329" spans="1:21" ht="10.8" thickTop="1" x14ac:dyDescent="0.2">
      <c r="G329" s="29"/>
    </row>
    <row r="331" spans="1:21" x14ac:dyDescent="0.2">
      <c r="F331" s="59" t="s">
        <v>316</v>
      </c>
      <c r="G331" s="40" t="s">
        <v>281</v>
      </c>
    </row>
    <row r="332" spans="1:21" x14ac:dyDescent="0.2">
      <c r="F332" s="59" t="s">
        <v>322</v>
      </c>
      <c r="G332" s="40">
        <v>15000</v>
      </c>
    </row>
    <row r="333" spans="1:21" x14ac:dyDescent="0.2">
      <c r="F333" s="59" t="s">
        <v>317</v>
      </c>
      <c r="G333" s="40">
        <v>50000</v>
      </c>
    </row>
    <row r="334" spans="1:21" x14ac:dyDescent="0.2">
      <c r="F334" s="59" t="s">
        <v>318</v>
      </c>
      <c r="G334" s="40">
        <v>17000</v>
      </c>
    </row>
    <row r="335" spans="1:21" x14ac:dyDescent="0.2">
      <c r="F335" s="59" t="s">
        <v>326</v>
      </c>
      <c r="G335" s="40">
        <v>20000</v>
      </c>
    </row>
    <row r="336" spans="1:21" x14ac:dyDescent="0.2">
      <c r="F336" s="59" t="s">
        <v>319</v>
      </c>
      <c r="G336" s="40">
        <v>25000</v>
      </c>
    </row>
    <row r="337" spans="6:7" x14ac:dyDescent="0.2">
      <c r="F337" s="59" t="s">
        <v>320</v>
      </c>
      <c r="G337" s="40">
        <v>25000</v>
      </c>
    </row>
    <row r="338" spans="6:7" x14ac:dyDescent="0.2">
      <c r="F338" s="59" t="s">
        <v>324</v>
      </c>
      <c r="G338" s="40">
        <v>14000</v>
      </c>
    </row>
    <row r="339" spans="6:7" x14ac:dyDescent="0.2">
      <c r="F339" s="59" t="s">
        <v>323</v>
      </c>
      <c r="G339" s="40">
        <v>6700</v>
      </c>
    </row>
    <row r="340" spans="6:7" x14ac:dyDescent="0.2">
      <c r="F340" s="59" t="s">
        <v>321</v>
      </c>
      <c r="G340" s="40">
        <v>15000</v>
      </c>
    </row>
    <row r="341" spans="6:7" x14ac:dyDescent="0.2">
      <c r="F341" s="59" t="s">
        <v>325</v>
      </c>
      <c r="G341" s="40">
        <v>40000</v>
      </c>
    </row>
    <row r="342" spans="6:7" x14ac:dyDescent="0.2">
      <c r="G342" s="40"/>
    </row>
    <row r="343" spans="6:7" x14ac:dyDescent="0.2">
      <c r="G343" s="40">
        <f>SUM(G332:G341)</f>
        <v>227700</v>
      </c>
    </row>
    <row r="344" spans="6:7" x14ac:dyDescent="0.2">
      <c r="G344" s="40"/>
    </row>
    <row r="345" spans="6:7" x14ac:dyDescent="0.2">
      <c r="G345" s="40"/>
    </row>
    <row r="346" spans="6:7" x14ac:dyDescent="0.2">
      <c r="G346" s="40"/>
    </row>
    <row r="347" spans="6:7" x14ac:dyDescent="0.2">
      <c r="G347" s="40"/>
    </row>
    <row r="348" spans="6:7" x14ac:dyDescent="0.2">
      <c r="G348" s="40"/>
    </row>
    <row r="349" spans="6:7" x14ac:dyDescent="0.2">
      <c r="G349" s="40"/>
    </row>
    <row r="350" spans="6:7" x14ac:dyDescent="0.2">
      <c r="G350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allocation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sgossett</dc:creator>
  <cp:lastModifiedBy>Kate Banaszak</cp:lastModifiedBy>
  <cp:lastPrinted>2020-03-17T14:10:31Z</cp:lastPrinted>
  <dcterms:created xsi:type="dcterms:W3CDTF">2018-09-11T19:08:57Z</dcterms:created>
  <dcterms:modified xsi:type="dcterms:W3CDTF">2020-03-20T15:41:59Z</dcterms:modified>
</cp:coreProperties>
</file>