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9720" windowHeight="12990"/>
  </bookViews>
  <sheets>
    <sheet name="Monthly Financial Summary Rpt" sheetId="1" r:id="rId1"/>
  </sheets>
  <definedNames>
    <definedName name="_xlnm.Print_Area" localSheetId="0">'Monthly Financial Summary Rpt'!$B$1:$L$65</definedName>
  </definedNames>
  <calcPr calcId="125725"/>
</workbook>
</file>

<file path=xl/calcChain.xml><?xml version="1.0" encoding="utf-8"?>
<calcChain xmlns="http://schemas.openxmlformats.org/spreadsheetml/2006/main">
  <c r="C52" i="1"/>
  <c r="C55"/>
  <c r="C54"/>
  <c r="C43"/>
  <c r="C39"/>
  <c r="C31"/>
  <c r="C27"/>
  <c r="C22"/>
  <c r="C14"/>
  <c r="B52"/>
  <c r="B14"/>
  <c r="I14"/>
  <c r="I52"/>
  <c r="I55"/>
  <c r="I49"/>
  <c r="I43"/>
  <c r="I39"/>
  <c r="I27"/>
  <c r="I22"/>
  <c r="B55"/>
  <c r="B49"/>
  <c r="B43"/>
  <c r="B39"/>
  <c r="B35"/>
  <c r="B31"/>
  <c r="B27"/>
  <c r="B22"/>
  <c r="I35"/>
  <c r="I31"/>
  <c r="J55" l="1"/>
  <c r="J49"/>
  <c r="J43"/>
  <c r="J39"/>
  <c r="J35"/>
  <c r="J31"/>
  <c r="J27"/>
  <c r="J22"/>
  <c r="J14"/>
  <c r="D12"/>
  <c r="L12"/>
  <c r="E12"/>
  <c r="K12" l="1"/>
  <c r="C56"/>
  <c r="C49"/>
  <c r="B56"/>
  <c r="D55"/>
  <c r="E54"/>
  <c r="D54"/>
  <c r="C35"/>
  <c r="E11"/>
  <c r="E55" l="1"/>
  <c r="I56"/>
  <c r="J56"/>
  <c r="E56"/>
  <c r="D56"/>
  <c r="L54"/>
  <c r="K54"/>
  <c r="K55" l="1"/>
  <c r="K56" s="1"/>
  <c r="L56"/>
  <c r="L55"/>
  <c r="B17" l="1"/>
  <c r="I17"/>
  <c r="J17"/>
  <c r="E52"/>
  <c r="E49"/>
  <c r="E48"/>
  <c r="E46"/>
  <c r="E43"/>
  <c r="E42"/>
  <c r="E39"/>
  <c r="E38"/>
  <c r="E35"/>
  <c r="E34"/>
  <c r="E31"/>
  <c r="E30"/>
  <c r="E27"/>
  <c r="E26"/>
  <c r="E25"/>
  <c r="E22"/>
  <c r="E21"/>
  <c r="E20"/>
  <c r="E19"/>
  <c r="E14"/>
  <c r="E13"/>
  <c r="E10"/>
  <c r="E9"/>
  <c r="E8"/>
  <c r="E7"/>
  <c r="L52"/>
  <c r="B50"/>
  <c r="I50"/>
  <c r="L49"/>
  <c r="L48"/>
  <c r="L46"/>
  <c r="L43"/>
  <c r="L42"/>
  <c r="L39"/>
  <c r="L38"/>
  <c r="L35"/>
  <c r="L34"/>
  <c r="L31"/>
  <c r="L30"/>
  <c r="L27"/>
  <c r="L26"/>
  <c r="L25"/>
  <c r="L22"/>
  <c r="L21"/>
  <c r="L20"/>
  <c r="L19"/>
  <c r="L14"/>
  <c r="L13"/>
  <c r="L11"/>
  <c r="L10"/>
  <c r="L9"/>
  <c r="L8"/>
  <c r="L7"/>
  <c r="D49"/>
  <c r="C36" l="1"/>
  <c r="I44" l="1"/>
  <c r="C40"/>
  <c r="C28" l="1"/>
  <c r="C23" l="1"/>
  <c r="J28" l="1"/>
  <c r="J50" l="1"/>
  <c r="L50" s="1"/>
  <c r="J44"/>
  <c r="J40"/>
  <c r="I40"/>
  <c r="J36"/>
  <c r="I36"/>
  <c r="J32"/>
  <c r="I32"/>
  <c r="I28"/>
  <c r="L28" s="1"/>
  <c r="J23"/>
  <c r="I23"/>
  <c r="C50"/>
  <c r="E50" s="1"/>
  <c r="D10"/>
  <c r="B28"/>
  <c r="E28" s="1"/>
  <c r="I58" l="1"/>
  <c r="L44"/>
  <c r="J58"/>
  <c r="L36"/>
  <c r="L23"/>
  <c r="L32"/>
  <c r="L40"/>
  <c r="B44"/>
  <c r="L58" l="1"/>
  <c r="K14"/>
  <c r="K49"/>
  <c r="K39"/>
  <c r="K35"/>
  <c r="K27"/>
  <c r="D14"/>
  <c r="K52"/>
  <c r="K48"/>
  <c r="K46"/>
  <c r="K43"/>
  <c r="K42"/>
  <c r="K38"/>
  <c r="K34"/>
  <c r="K30"/>
  <c r="K26"/>
  <c r="K25"/>
  <c r="K22"/>
  <c r="K21"/>
  <c r="K20"/>
  <c r="K19"/>
  <c r="J15"/>
  <c r="K13"/>
  <c r="K11"/>
  <c r="K10"/>
  <c r="K9"/>
  <c r="K8"/>
  <c r="K7"/>
  <c r="D26"/>
  <c r="J59" l="1"/>
  <c r="K50"/>
  <c r="K28"/>
  <c r="K44"/>
  <c r="I15"/>
  <c r="I59" s="1"/>
  <c r="K40"/>
  <c r="K36"/>
  <c r="K31"/>
  <c r="K32" s="1"/>
  <c r="K23"/>
  <c r="K15"/>
  <c r="B36"/>
  <c r="E36" s="1"/>
  <c r="D46"/>
  <c r="L15" l="1"/>
  <c r="K58"/>
  <c r="B15"/>
  <c r="K59" l="1"/>
  <c r="D35"/>
  <c r="C32"/>
  <c r="B32"/>
  <c r="D27"/>
  <c r="D52"/>
  <c r="D43"/>
  <c r="D39"/>
  <c r="D48"/>
  <c r="D42"/>
  <c r="D38"/>
  <c r="D34"/>
  <c r="D30"/>
  <c r="D25"/>
  <c r="D22"/>
  <c r="D21"/>
  <c r="D20"/>
  <c r="D19"/>
  <c r="D13"/>
  <c r="D11"/>
  <c r="D9"/>
  <c r="D8"/>
  <c r="D7"/>
  <c r="E32" l="1"/>
  <c r="D50"/>
  <c r="D31"/>
  <c r="D32" s="1"/>
  <c r="D44"/>
  <c r="C44"/>
  <c r="D40"/>
  <c r="B40"/>
  <c r="D36"/>
  <c r="D28"/>
  <c r="D23"/>
  <c r="B23"/>
  <c r="E23" s="1"/>
  <c r="D15"/>
  <c r="C15"/>
  <c r="E15" s="1"/>
  <c r="B58" l="1"/>
  <c r="E40"/>
  <c r="E44"/>
  <c r="C58"/>
  <c r="C59" s="1"/>
  <c r="B59" l="1"/>
  <c r="D59" s="1"/>
  <c r="E58"/>
  <c r="D58"/>
</calcChain>
</file>

<file path=xl/sharedStrings.xml><?xml version="1.0" encoding="utf-8"?>
<sst xmlns="http://schemas.openxmlformats.org/spreadsheetml/2006/main" count="61" uniqueCount="54">
  <si>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</si>
  <si>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</si>
  <si>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</si>
  <si>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</si>
  <si>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</si>
  <si>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</si>
  <si>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</si>
  <si>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</si>
  <si>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</si>
  <si>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</si>
  <si>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</si>
  <si>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</si>
  <si>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</si>
  <si>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</si>
  <si>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Other Admin Expenses</t>
  </si>
  <si>
    <t>Total Admin Operating</t>
  </si>
  <si>
    <t>All Other Police</t>
  </si>
  <si>
    <t>Total Police Operating</t>
  </si>
  <si>
    <t>All Other Street &amp; Hwy</t>
  </si>
  <si>
    <t>Total Street &amp; Hwy Operating</t>
  </si>
  <si>
    <t>All  Other Court</t>
  </si>
  <si>
    <t>Total Alderman Operating</t>
  </si>
  <si>
    <t>All Other Lifequard</t>
  </si>
  <si>
    <t>Total Lifeguard Operating</t>
  </si>
  <si>
    <t>All Other Code Enf.</t>
  </si>
  <si>
    <t>Total Code Enf. Operating</t>
  </si>
  <si>
    <t>All Other Seasonal Police</t>
  </si>
  <si>
    <t>Total Expense</t>
  </si>
  <si>
    <t>Net Income</t>
  </si>
  <si>
    <t>Life Saving Station</t>
  </si>
  <si>
    <t>Town Operating</t>
  </si>
  <si>
    <t xml:space="preserve"> </t>
  </si>
  <si>
    <t>Admin Payroll &amp; Benefits</t>
  </si>
  <si>
    <t>Police Payroll &amp; Benefits</t>
  </si>
  <si>
    <t>Police Admin Payroll &amp; Benefits</t>
  </si>
  <si>
    <t>Street&amp;Hwy Payroll &amp; Benefits</t>
  </si>
  <si>
    <t>Alderman Court Payroll &amp; Benefits</t>
  </si>
  <si>
    <t>Lifeguards Payroll &amp; Benefits</t>
  </si>
  <si>
    <t>Code Enf. Payroll &amp; Benefits</t>
  </si>
  <si>
    <t>Seasonal PD Payroll &amp; Benefits</t>
  </si>
  <si>
    <t>% of Budget</t>
  </si>
  <si>
    <t>Building Official Payroll &amp; Benefits</t>
  </si>
  <si>
    <t>All Other Building Official</t>
  </si>
  <si>
    <t>Total Building Official Operating</t>
  </si>
  <si>
    <t>Building Permits</t>
  </si>
  <si>
    <t>Annual Budget</t>
  </si>
  <si>
    <t>Monthly</t>
  </si>
  <si>
    <t>Annual FY19</t>
  </si>
  <si>
    <t>YTD FY 2019</t>
  </si>
  <si>
    <t>Current Month Revenues - Red if &lt; 100%</t>
  </si>
  <si>
    <t>Current Month Expenses - Red if &gt; 100%</t>
  </si>
  <si>
    <t>Financial Summary: June 2018</t>
  </si>
  <si>
    <t>YTD Revenues - Red if &lt; 25%</t>
  </si>
  <si>
    <t>YTD Expenses - Red if &gt; 25%</t>
  </si>
</sst>
</file>

<file path=xl/styles.xml><?xml version="1.0" encoding="utf-8"?>
<styleSheet xmlns="http://schemas.openxmlformats.org/spreadsheetml/2006/main">
  <numFmts count="1">
    <numFmt numFmtId="164" formatCode="[$-409]m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1" fillId="0" borderId="0" xfId="0" applyFont="1" applyBorder="1" applyAlignment="1">
      <alignment wrapText="1"/>
    </xf>
    <xf numFmtId="16" fontId="6" fillId="0" borderId="0" xfId="0" quotePrefix="1" applyNumberFormat="1" applyFont="1" applyBorder="1" applyAlignment="1">
      <alignment horizontal="center"/>
    </xf>
    <xf numFmtId="0" fontId="7" fillId="0" borderId="0" xfId="0" applyFont="1"/>
    <xf numFmtId="9" fontId="0" fillId="0" borderId="0" xfId="1" applyFont="1"/>
    <xf numFmtId="164" fontId="6" fillId="0" borderId="0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A34" zoomScale="120" zoomScaleNormal="120" workbookViewId="0">
      <selection activeCell="C53" sqref="C53"/>
    </sheetView>
  </sheetViews>
  <sheetFormatPr defaultRowHeight="15"/>
  <cols>
    <col min="1" max="1" width="1.5703125" bestFit="1" customWidth="1"/>
    <col min="2" max="2" width="12.42578125" customWidth="1"/>
    <col min="3" max="3" width="10.5703125" bestFit="1" customWidth="1"/>
    <col min="4" max="4" width="11.42578125" bestFit="1" customWidth="1"/>
    <col min="5" max="5" width="12" bestFit="1" customWidth="1"/>
    <col min="6" max="6" width="1.7109375" customWidth="1"/>
    <col min="7" max="7" width="33.140625" bestFit="1" customWidth="1"/>
    <col min="8" max="8" width="1.5703125" bestFit="1" customWidth="1"/>
    <col min="9" max="9" width="10.7109375" bestFit="1" customWidth="1"/>
    <col min="10" max="10" width="12.7109375" bestFit="1" customWidth="1"/>
    <col min="11" max="11" width="13.7109375" bestFit="1" customWidth="1"/>
    <col min="12" max="12" width="12" bestFit="1" customWidth="1"/>
  </cols>
  <sheetData>
    <row r="1" spans="1:12" ht="23.25" customHeight="1">
      <c r="A1" s="15"/>
    </row>
    <row r="2" spans="1:12" s="1" customFormat="1" ht="18.75">
      <c r="B2" s="1" t="s">
        <v>51</v>
      </c>
    </row>
    <row r="3" spans="1:12" ht="13.5" customHeight="1">
      <c r="B3" s="12"/>
    </row>
    <row r="4" spans="1:12" ht="13.5" customHeight="1">
      <c r="B4" s="27" t="s">
        <v>46</v>
      </c>
      <c r="C4" s="27"/>
      <c r="D4" s="27"/>
      <c r="E4" s="27"/>
      <c r="I4" s="27" t="s">
        <v>47</v>
      </c>
      <c r="J4" s="27"/>
      <c r="K4" s="27"/>
      <c r="L4" s="27"/>
    </row>
    <row r="5" spans="1:12" s="4" customFormat="1" ht="30">
      <c r="B5" s="23">
        <v>43252</v>
      </c>
      <c r="C5" s="18" t="s">
        <v>0</v>
      </c>
      <c r="D5" s="18" t="s">
        <v>1</v>
      </c>
      <c r="E5" s="18" t="s">
        <v>40</v>
      </c>
      <c r="F5" s="19"/>
      <c r="G5" s="5" t="s">
        <v>2</v>
      </c>
      <c r="H5" s="19"/>
      <c r="I5" s="21" t="s">
        <v>48</v>
      </c>
      <c r="J5" s="22" t="s">
        <v>45</v>
      </c>
      <c r="K5" s="18" t="s">
        <v>1</v>
      </c>
      <c r="L5" s="18" t="s">
        <v>40</v>
      </c>
    </row>
    <row r="6" spans="1:12" ht="6" customHeight="1"/>
    <row r="7" spans="1:12">
      <c r="B7" s="8">
        <v>35802</v>
      </c>
      <c r="C7" s="8">
        <v>50000</v>
      </c>
      <c r="D7" s="8">
        <f>B7-C7</f>
        <v>-14198</v>
      </c>
      <c r="E7" s="24">
        <f t="shared" ref="E7:E15" si="0">+B7/C7</f>
        <v>0.71604000000000001</v>
      </c>
      <c r="G7" t="s">
        <v>3</v>
      </c>
      <c r="H7" t="s">
        <v>31</v>
      </c>
      <c r="I7" s="8">
        <v>141808</v>
      </c>
      <c r="J7" s="8">
        <v>600000</v>
      </c>
      <c r="K7" s="8">
        <f>I7-J7</f>
        <v>-458192</v>
      </c>
      <c r="L7" s="24">
        <f t="shared" ref="L7:L15" si="1">+I7/J7</f>
        <v>0.23634666666666668</v>
      </c>
    </row>
    <row r="8" spans="1:12">
      <c r="B8" s="8">
        <v>2500</v>
      </c>
      <c r="C8" s="8">
        <v>42500</v>
      </c>
      <c r="D8" s="8">
        <f t="shared" ref="D8:D13" si="2">B8-C8</f>
        <v>-40000</v>
      </c>
      <c r="E8" s="24">
        <f t="shared" si="0"/>
        <v>5.8823529411764705E-2</v>
      </c>
      <c r="G8" t="s">
        <v>4</v>
      </c>
      <c r="I8" s="8">
        <v>30396</v>
      </c>
      <c r="J8" s="8">
        <v>510000</v>
      </c>
      <c r="K8" s="8">
        <f t="shared" ref="K8:K13" si="3">I8-J8</f>
        <v>-479604</v>
      </c>
      <c r="L8" s="24">
        <f t="shared" si="1"/>
        <v>5.96E-2</v>
      </c>
    </row>
    <row r="9" spans="1:12" ht="36.75" customHeight="1">
      <c r="B9" s="8">
        <v>15845</v>
      </c>
      <c r="C9" s="8">
        <v>27250</v>
      </c>
      <c r="D9" s="8">
        <f t="shared" si="2"/>
        <v>-11405</v>
      </c>
      <c r="E9" s="24">
        <f t="shared" si="0"/>
        <v>0.58146788990825693</v>
      </c>
      <c r="G9" t="s">
        <v>5</v>
      </c>
      <c r="I9" s="8">
        <v>70137</v>
      </c>
      <c r="J9" s="8">
        <v>327000</v>
      </c>
      <c r="K9" s="8">
        <f t="shared" si="3"/>
        <v>-256863</v>
      </c>
      <c r="L9" s="24">
        <f t="shared" si="1"/>
        <v>0.2144862385321101</v>
      </c>
    </row>
    <row r="10" spans="1:12">
      <c r="B10" s="8">
        <v>100851</v>
      </c>
      <c r="C10" s="8">
        <v>50833</v>
      </c>
      <c r="D10" s="8">
        <f t="shared" si="2"/>
        <v>50018</v>
      </c>
      <c r="E10" s="24">
        <f t="shared" si="0"/>
        <v>1.9839671079810359</v>
      </c>
      <c r="G10" t="s">
        <v>6</v>
      </c>
      <c r="I10" s="8">
        <v>343623</v>
      </c>
      <c r="J10" s="8">
        <v>610000</v>
      </c>
      <c r="K10" s="8">
        <f t="shared" si="3"/>
        <v>-266377</v>
      </c>
      <c r="L10" s="24">
        <f t="shared" si="1"/>
        <v>0.56331639344262296</v>
      </c>
    </row>
    <row r="11" spans="1:12">
      <c r="B11" s="8">
        <v>16276</v>
      </c>
      <c r="C11" s="8">
        <v>20195</v>
      </c>
      <c r="D11" s="8">
        <f t="shared" si="2"/>
        <v>-3919</v>
      </c>
      <c r="E11" s="24">
        <f t="shared" si="0"/>
        <v>0.8059420648675415</v>
      </c>
      <c r="G11" t="s">
        <v>7</v>
      </c>
      <c r="I11" s="8">
        <v>19215</v>
      </c>
      <c r="J11" s="8">
        <v>242333</v>
      </c>
      <c r="K11" s="8">
        <f t="shared" si="3"/>
        <v>-223118</v>
      </c>
      <c r="L11" s="24">
        <f t="shared" si="1"/>
        <v>7.9291718420520518E-2</v>
      </c>
    </row>
    <row r="12" spans="1:12">
      <c r="B12" s="8">
        <v>9860</v>
      </c>
      <c r="C12" s="8">
        <v>25000</v>
      </c>
      <c r="D12" s="8">
        <f t="shared" si="2"/>
        <v>-15140</v>
      </c>
      <c r="E12" s="24">
        <f t="shared" si="0"/>
        <v>0.39439999999999997</v>
      </c>
      <c r="G12" t="s">
        <v>44</v>
      </c>
      <c r="I12" s="8">
        <v>49220</v>
      </c>
      <c r="J12" s="8">
        <v>300000</v>
      </c>
      <c r="K12" s="8">
        <f t="shared" si="3"/>
        <v>-250780</v>
      </c>
      <c r="L12" s="24">
        <f t="shared" si="1"/>
        <v>0.16406666666666667</v>
      </c>
    </row>
    <row r="13" spans="1:12">
      <c r="B13" s="8">
        <v>50283</v>
      </c>
      <c r="C13" s="8">
        <v>31178</v>
      </c>
      <c r="D13" s="8">
        <f t="shared" si="2"/>
        <v>19105</v>
      </c>
      <c r="E13" s="24">
        <f t="shared" si="0"/>
        <v>1.6127718262877671</v>
      </c>
      <c r="G13" t="s">
        <v>8</v>
      </c>
      <c r="I13" s="8">
        <v>79945</v>
      </c>
      <c r="J13" s="8">
        <v>374144</v>
      </c>
      <c r="K13" s="8">
        <f t="shared" si="3"/>
        <v>-294199</v>
      </c>
      <c r="L13" s="24">
        <f t="shared" si="1"/>
        <v>0.2136744141293192</v>
      </c>
    </row>
    <row r="14" spans="1:12">
      <c r="B14" s="8">
        <f>253111-231417</f>
        <v>21694</v>
      </c>
      <c r="C14" s="8">
        <f>281125-246956</f>
        <v>34169</v>
      </c>
      <c r="D14" s="8">
        <f>B14-C14</f>
        <v>-12475</v>
      </c>
      <c r="E14" s="24">
        <f t="shared" si="0"/>
        <v>0.63490298223535957</v>
      </c>
      <c r="G14" t="s">
        <v>9</v>
      </c>
      <c r="I14" s="8">
        <f>830452-734344</f>
        <v>96108</v>
      </c>
      <c r="J14" s="8">
        <f>3373527-2963477</f>
        <v>410050</v>
      </c>
      <c r="K14" s="8">
        <f>I14-J14</f>
        <v>-313942</v>
      </c>
      <c r="L14" s="24">
        <f t="shared" si="1"/>
        <v>0.23438117302767955</v>
      </c>
    </row>
    <row r="15" spans="1:12" ht="18.75">
      <c r="B15" s="9">
        <f>SUM(B7:B14)</f>
        <v>253111</v>
      </c>
      <c r="C15" s="9">
        <f t="shared" ref="C15:D15" si="4">SUM(C7:C14)</f>
        <v>281125</v>
      </c>
      <c r="D15" s="9">
        <f t="shared" si="4"/>
        <v>-28014</v>
      </c>
      <c r="E15" s="24">
        <f t="shared" si="0"/>
        <v>0.90035037794575368</v>
      </c>
      <c r="F15" s="6"/>
      <c r="G15" s="6" t="s">
        <v>10</v>
      </c>
      <c r="H15" s="6"/>
      <c r="I15" s="9">
        <f>SUM(I7:I14)</f>
        <v>830452</v>
      </c>
      <c r="J15" s="9">
        <f t="shared" ref="J15:K15" si="5">SUM(J7:J14)</f>
        <v>3373527</v>
      </c>
      <c r="K15" s="9">
        <f t="shared" si="5"/>
        <v>-2543075</v>
      </c>
      <c r="L15" s="24">
        <f t="shared" si="1"/>
        <v>0.24616729019806274</v>
      </c>
    </row>
    <row r="16" spans="1:12" ht="13.5" customHeight="1">
      <c r="E16" s="24"/>
      <c r="L16" s="25"/>
    </row>
    <row r="17" spans="1:12" s="4" customFormat="1" ht="30.75" customHeight="1">
      <c r="B17" s="17">
        <f>B5</f>
        <v>43252</v>
      </c>
      <c r="C17" s="2" t="s">
        <v>0</v>
      </c>
      <c r="D17" s="3" t="s">
        <v>1</v>
      </c>
      <c r="E17" s="26"/>
      <c r="G17" s="5" t="s">
        <v>11</v>
      </c>
      <c r="I17" s="14" t="str">
        <f>I5</f>
        <v>YTD FY 2019</v>
      </c>
      <c r="J17" s="13" t="str">
        <f>J5</f>
        <v>Annual Budget</v>
      </c>
      <c r="K17" s="3" t="s">
        <v>1</v>
      </c>
      <c r="L17" s="20"/>
    </row>
    <row r="18" spans="1:12" ht="9" customHeight="1">
      <c r="E18" s="24"/>
      <c r="L18" s="25"/>
    </row>
    <row r="19" spans="1:12">
      <c r="B19" s="8">
        <v>0</v>
      </c>
      <c r="C19" s="8">
        <v>5000</v>
      </c>
      <c r="D19" s="8">
        <f t="shared" ref="D19:D22" si="6">B19-C19</f>
        <v>-5000</v>
      </c>
      <c r="E19" s="24">
        <f>+B19/C19</f>
        <v>0</v>
      </c>
      <c r="G19" t="s">
        <v>12</v>
      </c>
      <c r="I19" s="8">
        <v>7008</v>
      </c>
      <c r="J19" s="8">
        <v>60000</v>
      </c>
      <c r="K19" s="8">
        <f t="shared" ref="K19:K22" si="7">I19-J19</f>
        <v>-52992</v>
      </c>
      <c r="L19" s="24">
        <f>+I19/J19</f>
        <v>0.1168</v>
      </c>
    </row>
    <row r="20" spans="1:12">
      <c r="B20" s="8">
        <v>1073</v>
      </c>
      <c r="C20" s="8">
        <v>6666</v>
      </c>
      <c r="D20" s="8">
        <f t="shared" si="6"/>
        <v>-5593</v>
      </c>
      <c r="E20" s="24">
        <f>+B20/C20</f>
        <v>0.16096609660966096</v>
      </c>
      <c r="G20" t="s">
        <v>13</v>
      </c>
      <c r="I20" s="8">
        <v>24806</v>
      </c>
      <c r="J20" s="8">
        <v>80000</v>
      </c>
      <c r="K20" s="8">
        <f t="shared" si="7"/>
        <v>-55194</v>
      </c>
      <c r="L20" s="24">
        <f>+I20/J20</f>
        <v>0.31007499999999999</v>
      </c>
    </row>
    <row r="21" spans="1:12">
      <c r="B21" s="8">
        <v>26730</v>
      </c>
      <c r="C21" s="8">
        <v>28720</v>
      </c>
      <c r="D21" s="8">
        <f t="shared" si="6"/>
        <v>-1990</v>
      </c>
      <c r="E21" s="24">
        <f>+B21/C21</f>
        <v>0.93071030640668528</v>
      </c>
      <c r="G21" t="s">
        <v>32</v>
      </c>
      <c r="I21" s="8">
        <v>89003</v>
      </c>
      <c r="J21" s="8">
        <v>344649</v>
      </c>
      <c r="K21" s="8">
        <f t="shared" si="7"/>
        <v>-255646</v>
      </c>
      <c r="L21" s="24">
        <f>+I21/J21</f>
        <v>0.25824244376162414</v>
      </c>
    </row>
    <row r="22" spans="1:12">
      <c r="B22" s="8">
        <f>70853-27803</f>
        <v>43050</v>
      </c>
      <c r="C22" s="8">
        <f>72222-40386</f>
        <v>31836</v>
      </c>
      <c r="D22" s="8">
        <f t="shared" si="6"/>
        <v>11214</v>
      </c>
      <c r="E22" s="24">
        <f>+B22/C22</f>
        <v>1.3522427440633245</v>
      </c>
      <c r="G22" t="s">
        <v>14</v>
      </c>
      <c r="I22" s="8">
        <f>226166-120818</f>
        <v>105348</v>
      </c>
      <c r="J22" s="8">
        <f>901649-484649</f>
        <v>417000</v>
      </c>
      <c r="K22" s="8">
        <f t="shared" si="7"/>
        <v>-311652</v>
      </c>
      <c r="L22" s="24">
        <f>+I22/J22</f>
        <v>0.25263309352517987</v>
      </c>
    </row>
    <row r="23" spans="1:12" s="7" customFormat="1" ht="15.75">
      <c r="B23" s="10">
        <f>SUM(B19:B22)</f>
        <v>70853</v>
      </c>
      <c r="C23" s="10">
        <f t="shared" ref="C23:D23" si="8">SUM(C19:C22)</f>
        <v>72222</v>
      </c>
      <c r="D23" s="10">
        <f t="shared" si="8"/>
        <v>-1369</v>
      </c>
      <c r="E23" s="24">
        <f>+B23/C23</f>
        <v>0.98104455706017557</v>
      </c>
      <c r="G23" s="7" t="s">
        <v>15</v>
      </c>
      <c r="I23" s="10">
        <f>SUM(I19:I22)</f>
        <v>226165</v>
      </c>
      <c r="J23" s="10">
        <f t="shared" ref="J23" si="9">SUM(J19:J22)</f>
        <v>901649</v>
      </c>
      <c r="K23" s="10">
        <f t="shared" ref="K23" si="10">SUM(K19:K22)</f>
        <v>-675484</v>
      </c>
      <c r="L23" s="24">
        <f>+I23/J23</f>
        <v>0.25083485924123466</v>
      </c>
    </row>
    <row r="24" spans="1:12" ht="12" customHeight="1">
      <c r="E24" s="24"/>
      <c r="L24" s="25"/>
    </row>
    <row r="25" spans="1:12">
      <c r="B25" s="8">
        <v>40034</v>
      </c>
      <c r="C25" s="8">
        <v>60101</v>
      </c>
      <c r="D25" s="8">
        <f t="shared" ref="D25:D27" si="11">B25-C25</f>
        <v>-20067</v>
      </c>
      <c r="E25" s="24">
        <f>+B25/C25</f>
        <v>0.66611204472471341</v>
      </c>
      <c r="G25" t="s">
        <v>33</v>
      </c>
      <c r="I25" s="8">
        <v>178867</v>
      </c>
      <c r="J25" s="8">
        <v>756219</v>
      </c>
      <c r="K25" s="8">
        <f t="shared" ref="K25:K27" si="12">I25-J25</f>
        <v>-577352</v>
      </c>
      <c r="L25" s="24">
        <f>+I25/J25</f>
        <v>0.23652804280241571</v>
      </c>
    </row>
    <row r="26" spans="1:12">
      <c r="B26" s="8">
        <v>10704</v>
      </c>
      <c r="C26" s="8">
        <v>11782</v>
      </c>
      <c r="D26" s="8">
        <f t="shared" si="11"/>
        <v>-1078</v>
      </c>
      <c r="E26" s="24">
        <f>+B26/C26</f>
        <v>0.90850449838737057</v>
      </c>
      <c r="G26" t="s">
        <v>34</v>
      </c>
      <c r="I26" s="8">
        <v>34631</v>
      </c>
      <c r="J26" s="8">
        <v>141391</v>
      </c>
      <c r="K26" s="8">
        <f t="shared" si="12"/>
        <v>-106760</v>
      </c>
      <c r="L26" s="24">
        <f>+I26/J26</f>
        <v>0.24493072402062366</v>
      </c>
    </row>
    <row r="27" spans="1:12">
      <c r="B27" s="8">
        <f>72757-50738</f>
        <v>22019</v>
      </c>
      <c r="C27" s="8">
        <f>90840-11782-60101</f>
        <v>18957</v>
      </c>
      <c r="D27" s="8">
        <f t="shared" si="11"/>
        <v>3062</v>
      </c>
      <c r="E27" s="24">
        <f>+B27/C27</f>
        <v>1.1615234478029224</v>
      </c>
      <c r="G27" t="s">
        <v>16</v>
      </c>
      <c r="I27" s="8">
        <f>295423-213497</f>
        <v>81926</v>
      </c>
      <c r="J27" s="8">
        <f>1125072-897610</f>
        <v>227462</v>
      </c>
      <c r="K27" s="8">
        <f t="shared" si="12"/>
        <v>-145536</v>
      </c>
      <c r="L27" s="24">
        <f>+I27/J27</f>
        <v>0.36017444672077092</v>
      </c>
    </row>
    <row r="28" spans="1:12" s="7" customFormat="1" ht="15.75">
      <c r="B28" s="10">
        <f>B27+B26+B25</f>
        <v>72757</v>
      </c>
      <c r="C28" s="10">
        <f>C27+C26+C25</f>
        <v>90840</v>
      </c>
      <c r="D28" s="10">
        <f>B28-C28</f>
        <v>-18083</v>
      </c>
      <c r="E28" s="24">
        <f>+B28/C28</f>
        <v>0.8009357111404668</v>
      </c>
      <c r="G28" s="7" t="s">
        <v>17</v>
      </c>
      <c r="I28" s="10">
        <f>I27+I26+I25</f>
        <v>295424</v>
      </c>
      <c r="J28" s="10">
        <f>J27+J26+J25</f>
        <v>1125072</v>
      </c>
      <c r="K28" s="10">
        <f>SUM(K25:K27)</f>
        <v>-829648</v>
      </c>
      <c r="L28" s="24">
        <f>+I28/J28</f>
        <v>0.26258230584353714</v>
      </c>
    </row>
    <row r="29" spans="1:12" ht="12" customHeight="1">
      <c r="E29" s="24"/>
      <c r="L29" s="25"/>
    </row>
    <row r="30" spans="1:12">
      <c r="A30" t="s">
        <v>31</v>
      </c>
      <c r="B30" s="8">
        <v>9292</v>
      </c>
      <c r="C30" s="8">
        <v>9170</v>
      </c>
      <c r="D30" s="8">
        <f t="shared" ref="D30:D31" si="13">B30-C30</f>
        <v>122</v>
      </c>
      <c r="E30" s="24">
        <f>+B30/C30</f>
        <v>1.0133042529989096</v>
      </c>
      <c r="G30" t="s">
        <v>35</v>
      </c>
      <c r="I30" s="8">
        <v>31161</v>
      </c>
      <c r="J30" s="8">
        <v>110022</v>
      </c>
      <c r="K30" s="8">
        <f t="shared" ref="K30:K31" si="14">I30-J30</f>
        <v>-78861</v>
      </c>
      <c r="L30" s="24">
        <f>+I30/J30</f>
        <v>0.28322517314718876</v>
      </c>
    </row>
    <row r="31" spans="1:12">
      <c r="B31" s="8">
        <f>15218-9292</f>
        <v>5926</v>
      </c>
      <c r="C31" s="8">
        <f>14125-9170</f>
        <v>4955</v>
      </c>
      <c r="D31" s="8">
        <f t="shared" si="13"/>
        <v>971</v>
      </c>
      <c r="E31" s="24">
        <f>+B31/C31</f>
        <v>1.1959636730575176</v>
      </c>
      <c r="G31" t="s">
        <v>18</v>
      </c>
      <c r="I31" s="8">
        <f>45631-31161</f>
        <v>14470</v>
      </c>
      <c r="J31" s="8">
        <f>185745-110022</f>
        <v>75723</v>
      </c>
      <c r="K31" s="8">
        <f t="shared" si="14"/>
        <v>-61253</v>
      </c>
      <c r="L31" s="24">
        <f>+I31/J31</f>
        <v>0.19109121403008333</v>
      </c>
    </row>
    <row r="32" spans="1:12" s="7" customFormat="1" ht="15.75">
      <c r="B32" s="10">
        <f>SUM(B30:B31)</f>
        <v>15218</v>
      </c>
      <c r="C32" s="10">
        <f>SUM(C30:C31)</f>
        <v>14125</v>
      </c>
      <c r="D32" s="10">
        <f>D31+D30</f>
        <v>1093</v>
      </c>
      <c r="E32" s="24">
        <f>+B32/C32</f>
        <v>1.0773805309734514</v>
      </c>
      <c r="G32" s="7" t="s">
        <v>19</v>
      </c>
      <c r="I32" s="10">
        <f>SUM(I30:I31)</f>
        <v>45631</v>
      </c>
      <c r="J32" s="10">
        <f>SUM(J30:J31)</f>
        <v>185745</v>
      </c>
      <c r="K32" s="10">
        <f>K31+K30</f>
        <v>-140114</v>
      </c>
      <c r="L32" s="24">
        <f>+I32/J32</f>
        <v>0.24566475544429189</v>
      </c>
    </row>
    <row r="33" spans="2:12" ht="12" customHeight="1">
      <c r="E33" s="24"/>
      <c r="L33" s="25"/>
    </row>
    <row r="34" spans="2:12">
      <c r="B34" s="8">
        <v>7789</v>
      </c>
      <c r="C34" s="8">
        <v>5286</v>
      </c>
      <c r="D34" s="8">
        <f t="shared" ref="D34:D35" si="15">B34-C34</f>
        <v>2503</v>
      </c>
      <c r="E34" s="24">
        <f>+B34/C34</f>
        <v>1.4735149451381007</v>
      </c>
      <c r="G34" t="s">
        <v>36</v>
      </c>
      <c r="I34" s="8">
        <v>17870</v>
      </c>
      <c r="J34" s="8">
        <v>63433</v>
      </c>
      <c r="K34" s="8">
        <f t="shared" ref="K34:K35" si="16">I34-J34</f>
        <v>-45563</v>
      </c>
      <c r="L34" s="24">
        <f>+I34/J34</f>
        <v>0.28171456497406711</v>
      </c>
    </row>
    <row r="35" spans="2:12">
      <c r="B35" s="8">
        <f>8523-7789</f>
        <v>734</v>
      </c>
      <c r="C35" s="8">
        <f>5959-5286</f>
        <v>673</v>
      </c>
      <c r="D35" s="8">
        <f t="shared" si="15"/>
        <v>61</v>
      </c>
      <c r="E35" s="24">
        <f>+B35/C35</f>
        <v>1.0906389301634472</v>
      </c>
      <c r="G35" t="s">
        <v>20</v>
      </c>
      <c r="I35" s="8">
        <f>19754-17870</f>
        <v>1884</v>
      </c>
      <c r="J35" s="8">
        <f>71506-63433</f>
        <v>8073</v>
      </c>
      <c r="K35" s="8">
        <f t="shared" si="16"/>
        <v>-6189</v>
      </c>
      <c r="L35" s="24">
        <f>+I35/J35</f>
        <v>0.23337049424005946</v>
      </c>
    </row>
    <row r="36" spans="2:12" s="7" customFormat="1" ht="15.75">
      <c r="B36" s="10">
        <f t="shared" ref="B36:C36" si="17">B35+B34</f>
        <v>8523</v>
      </c>
      <c r="C36" s="10">
        <f t="shared" si="17"/>
        <v>5959</v>
      </c>
      <c r="D36" s="10">
        <f t="shared" ref="D36" si="18">D35+D34</f>
        <v>2564</v>
      </c>
      <c r="E36" s="24">
        <f>+B36/C36</f>
        <v>1.4302735358281591</v>
      </c>
      <c r="G36" s="7" t="s">
        <v>21</v>
      </c>
      <c r="I36" s="10">
        <f t="shared" ref="I36:K36" si="19">I35+I34</f>
        <v>19754</v>
      </c>
      <c r="J36" s="10">
        <f t="shared" si="19"/>
        <v>71506</v>
      </c>
      <c r="K36" s="10">
        <f t="shared" si="19"/>
        <v>-51752</v>
      </c>
      <c r="L36" s="24">
        <f>+I36/J36</f>
        <v>0.27625653791290239</v>
      </c>
    </row>
    <row r="37" spans="2:12" ht="12" customHeight="1">
      <c r="E37" s="24"/>
      <c r="L37" s="25"/>
    </row>
    <row r="38" spans="2:12">
      <c r="B38" s="8">
        <v>87347</v>
      </c>
      <c r="C38" s="8">
        <v>28117</v>
      </c>
      <c r="D38" s="8">
        <f t="shared" ref="D38:D39" si="20">B38-C38</f>
        <v>59230</v>
      </c>
      <c r="E38" s="24">
        <f>+B38/C38</f>
        <v>3.1065547533520648</v>
      </c>
      <c r="G38" t="s">
        <v>37</v>
      </c>
      <c r="I38" s="8">
        <v>105752</v>
      </c>
      <c r="J38" s="8">
        <v>337419</v>
      </c>
      <c r="K38" s="8">
        <f t="shared" ref="K38:K39" si="21">I38-J38</f>
        <v>-231667</v>
      </c>
      <c r="L38" s="24">
        <f>+I38/J38</f>
        <v>0.31341447873415545</v>
      </c>
    </row>
    <row r="39" spans="2:12">
      <c r="B39" s="8">
        <f>90702-87347</f>
        <v>3355</v>
      </c>
      <c r="C39" s="8">
        <f>31051-28117</f>
        <v>2934</v>
      </c>
      <c r="D39" s="8">
        <f t="shared" si="20"/>
        <v>421</v>
      </c>
      <c r="E39" s="24">
        <f>+B39/C39</f>
        <v>1.143490115882754</v>
      </c>
      <c r="G39" t="s">
        <v>22</v>
      </c>
      <c r="I39" s="8">
        <f>116188.92-105751.88</f>
        <v>10437.039999999994</v>
      </c>
      <c r="J39" s="8">
        <f>377585-337419</f>
        <v>40166</v>
      </c>
      <c r="K39" s="8">
        <f t="shared" si="21"/>
        <v>-29728.960000000006</v>
      </c>
      <c r="L39" s="24">
        <f>+I39/J39</f>
        <v>0.25984763232584757</v>
      </c>
    </row>
    <row r="40" spans="2:12" s="7" customFormat="1" ht="15.75">
      <c r="B40" s="10">
        <f>B39+B38</f>
        <v>90702</v>
      </c>
      <c r="C40" s="10">
        <f>C39+C38</f>
        <v>31051</v>
      </c>
      <c r="D40" s="10">
        <f t="shared" ref="D40" si="22">D39+D38</f>
        <v>59651</v>
      </c>
      <c r="E40" s="24">
        <f>+B40/C40</f>
        <v>2.9210653441113008</v>
      </c>
      <c r="G40" s="7" t="s">
        <v>23</v>
      </c>
      <c r="I40" s="10">
        <f>I39+I38</f>
        <v>116189.04</v>
      </c>
      <c r="J40" s="10">
        <f>J39+J38</f>
        <v>377585</v>
      </c>
      <c r="K40" s="10">
        <f t="shared" ref="K40" si="23">K39+K38</f>
        <v>-261395.96000000002</v>
      </c>
      <c r="L40" s="24">
        <f>+I40/J40</f>
        <v>0.30771624932134484</v>
      </c>
    </row>
    <row r="41" spans="2:12" ht="12" customHeight="1">
      <c r="E41" s="24"/>
      <c r="L41" s="25"/>
    </row>
    <row r="42" spans="2:12">
      <c r="B42" s="8">
        <v>27293</v>
      </c>
      <c r="C42" s="8">
        <v>17786</v>
      </c>
      <c r="D42" s="8">
        <f t="shared" ref="D42:D43" si="24">B42-C42</f>
        <v>9507</v>
      </c>
      <c r="E42" s="24">
        <f>+B42/C42</f>
        <v>1.5345215337906217</v>
      </c>
      <c r="G42" t="s">
        <v>38</v>
      </c>
      <c r="I42" s="8">
        <v>63431</v>
      </c>
      <c r="J42" s="8">
        <v>213444</v>
      </c>
      <c r="K42" s="8">
        <f t="shared" ref="K42:K43" si="25">I42-J42</f>
        <v>-150013</v>
      </c>
      <c r="L42" s="24">
        <f>+I42/J42</f>
        <v>0.297178651074755</v>
      </c>
    </row>
    <row r="43" spans="2:12">
      <c r="B43" s="8">
        <f>34265-27293</f>
        <v>6972</v>
      </c>
      <c r="C43" s="8">
        <f>19174-17786</f>
        <v>1388</v>
      </c>
      <c r="D43" s="8">
        <f t="shared" si="24"/>
        <v>5584</v>
      </c>
      <c r="E43" s="24">
        <f>+B43/C43</f>
        <v>5.0230547550432281</v>
      </c>
      <c r="G43" t="s">
        <v>24</v>
      </c>
      <c r="I43" s="8">
        <f>74652.29-63431</f>
        <v>11221.289999999994</v>
      </c>
      <c r="J43" s="8">
        <f>230091-213444</f>
        <v>16647</v>
      </c>
      <c r="K43" s="8">
        <f t="shared" si="25"/>
        <v>-5425.7100000000064</v>
      </c>
      <c r="L43" s="24">
        <f>+I43/J43</f>
        <v>0.67407280591097452</v>
      </c>
    </row>
    <row r="44" spans="2:12" s="7" customFormat="1" ht="15.75">
      <c r="B44" s="10">
        <f>B43+B42</f>
        <v>34265</v>
      </c>
      <c r="C44" s="10">
        <f t="shared" ref="C44" si="26">C43+C42</f>
        <v>19174</v>
      </c>
      <c r="D44" s="10">
        <f t="shared" ref="D44" si="27">D43+D42</f>
        <v>15091</v>
      </c>
      <c r="E44" s="24">
        <f>+B44/C44</f>
        <v>1.7870553875039115</v>
      </c>
      <c r="G44" s="7" t="s">
        <v>25</v>
      </c>
      <c r="I44" s="10">
        <f>I42+I43</f>
        <v>74652.289999999994</v>
      </c>
      <c r="J44" s="10">
        <f t="shared" ref="J44" si="28">J43+J42</f>
        <v>230091</v>
      </c>
      <c r="K44" s="10">
        <f t="shared" ref="K44" si="29">K43+K42</f>
        <v>-155438.71000000002</v>
      </c>
      <c r="L44" s="24">
        <f>+I44/J44</f>
        <v>0.32444680582899804</v>
      </c>
    </row>
    <row r="45" spans="2:12" ht="12" customHeight="1">
      <c r="E45" s="24"/>
      <c r="L45" s="25"/>
    </row>
    <row r="46" spans="2:12" s="7" customFormat="1" ht="15.75">
      <c r="B46" s="10">
        <v>695</v>
      </c>
      <c r="C46" s="10">
        <v>948</v>
      </c>
      <c r="D46" s="10">
        <f>B46-C46</f>
        <v>-253</v>
      </c>
      <c r="E46" s="24">
        <f>+B46/C46</f>
        <v>0.7331223628691983</v>
      </c>
      <c r="G46" s="7" t="s">
        <v>29</v>
      </c>
      <c r="I46" s="10">
        <v>2346</v>
      </c>
      <c r="J46" s="10">
        <v>11400</v>
      </c>
      <c r="K46" s="10">
        <f>I46-J46</f>
        <v>-9054</v>
      </c>
      <c r="L46" s="24">
        <f>+I46/J46</f>
        <v>0.20578947368421052</v>
      </c>
    </row>
    <row r="47" spans="2:12" ht="12" customHeight="1">
      <c r="E47" s="24"/>
      <c r="L47" s="25"/>
    </row>
    <row r="48" spans="2:12">
      <c r="B48" s="8">
        <v>43184</v>
      </c>
      <c r="C48" s="8">
        <v>18049</v>
      </c>
      <c r="D48" s="8">
        <f t="shared" ref="D48:D49" si="30">B48-C48</f>
        <v>25135</v>
      </c>
      <c r="E48" s="24">
        <f>+B48/C48</f>
        <v>2.3925979278630396</v>
      </c>
      <c r="G48" t="s">
        <v>39</v>
      </c>
      <c r="I48" s="8">
        <v>78881</v>
      </c>
      <c r="J48" s="8">
        <v>216595</v>
      </c>
      <c r="K48" s="8">
        <f t="shared" ref="K48:K49" si="31">I48-J48</f>
        <v>-137714</v>
      </c>
      <c r="L48" s="24">
        <f>+I48/J48</f>
        <v>0.36418661557284332</v>
      </c>
    </row>
    <row r="49" spans="2:12">
      <c r="B49" s="8">
        <f>45520-43184</f>
        <v>2336</v>
      </c>
      <c r="C49" s="8">
        <f>20061-18049</f>
        <v>2012</v>
      </c>
      <c r="D49" s="8">
        <f t="shared" si="30"/>
        <v>324</v>
      </c>
      <c r="E49" s="24">
        <f>+B49/C49</f>
        <v>1.1610337972166997</v>
      </c>
      <c r="G49" t="s">
        <v>26</v>
      </c>
      <c r="I49" s="8">
        <f>88539-78881</f>
        <v>9658</v>
      </c>
      <c r="J49" s="8">
        <f>240716-216595</f>
        <v>24121</v>
      </c>
      <c r="K49" s="8">
        <f t="shared" si="31"/>
        <v>-14463</v>
      </c>
      <c r="L49" s="24">
        <f>+I49/J49</f>
        <v>0.40039799344969113</v>
      </c>
    </row>
    <row r="50" spans="2:12" s="7" customFormat="1" ht="15.75">
      <c r="B50" s="10">
        <f>B49+B48</f>
        <v>45520</v>
      </c>
      <c r="C50" s="10">
        <f>C49+C48</f>
        <v>20061</v>
      </c>
      <c r="D50" s="10">
        <f>SUM(D48:D49)</f>
        <v>25459</v>
      </c>
      <c r="E50" s="24">
        <f>+B50/C50</f>
        <v>2.2690793081102636</v>
      </c>
      <c r="G50" s="7" t="s">
        <v>17</v>
      </c>
      <c r="I50" s="10">
        <f>I49++I48</f>
        <v>88539</v>
      </c>
      <c r="J50" s="10">
        <f>J49+J48</f>
        <v>240716</v>
      </c>
      <c r="K50" s="10">
        <f>SUM(K48:K49)</f>
        <v>-152177</v>
      </c>
      <c r="L50" s="24">
        <f>+I50/J50</f>
        <v>0.36781518469898139</v>
      </c>
    </row>
    <row r="51" spans="2:12" ht="10.5" customHeight="1">
      <c r="B51" s="11"/>
      <c r="C51" s="11"/>
      <c r="D51" s="11"/>
      <c r="E51" s="24"/>
      <c r="I51" s="11"/>
      <c r="J51" s="11"/>
      <c r="K51" s="11"/>
      <c r="L51" s="25"/>
    </row>
    <row r="52" spans="2:12" s="7" customFormat="1" ht="15.75">
      <c r="B52" s="10">
        <f>66535-3715+30+32</f>
        <v>62882</v>
      </c>
      <c r="C52" s="10">
        <f>4655+4358+2917+1354+166+247+2916</f>
        <v>16613</v>
      </c>
      <c r="D52" s="10">
        <f>B52-C52</f>
        <v>46269</v>
      </c>
      <c r="E52" s="24">
        <f>+B52/C52</f>
        <v>3.7851080479142838</v>
      </c>
      <c r="G52" s="7" t="s">
        <v>30</v>
      </c>
      <c r="I52" s="10">
        <f>76413+935+9203+143-6783</f>
        <v>79911</v>
      </c>
      <c r="J52" s="10">
        <v>108160</v>
      </c>
      <c r="K52" s="10">
        <f>I52-J52</f>
        <v>-28249</v>
      </c>
      <c r="L52" s="24">
        <f>+I52/J52</f>
        <v>0.7388221153846154</v>
      </c>
    </row>
    <row r="53" spans="2:12" ht="12" customHeight="1">
      <c r="E53" s="24"/>
      <c r="L53" s="25"/>
    </row>
    <row r="54" spans="2:12">
      <c r="B54" s="8">
        <v>5608</v>
      </c>
      <c r="C54" s="8">
        <f>4550+458+984</f>
        <v>5992</v>
      </c>
      <c r="D54" s="8">
        <f t="shared" ref="D54:D55" si="32">B54-C54</f>
        <v>-384</v>
      </c>
      <c r="E54" s="24">
        <f>+B54/C54</f>
        <v>0.93591455273698265</v>
      </c>
      <c r="G54" t="s">
        <v>41</v>
      </c>
      <c r="I54" s="8">
        <v>17295</v>
      </c>
      <c r="J54" s="8">
        <v>71898</v>
      </c>
      <c r="K54" s="8">
        <f t="shared" ref="K54:K55" si="33">I54-J54</f>
        <v>-54603</v>
      </c>
      <c r="L54" s="24">
        <f>+I54/J54</f>
        <v>0.24054911124092465</v>
      </c>
    </row>
    <row r="55" spans="2:12">
      <c r="B55" s="8">
        <f>5797-5608</f>
        <v>189</v>
      </c>
      <c r="C55" s="8">
        <f>6356-5992</f>
        <v>364</v>
      </c>
      <c r="D55" s="8">
        <f t="shared" si="32"/>
        <v>-175</v>
      </c>
      <c r="E55" s="24">
        <f>+B55/C55</f>
        <v>0.51923076923076927</v>
      </c>
      <c r="G55" t="s">
        <v>42</v>
      </c>
      <c r="I55" s="8">
        <f>17845-17294</f>
        <v>551</v>
      </c>
      <c r="J55" s="8">
        <f>76258-71898</f>
        <v>4360</v>
      </c>
      <c r="K55" s="8">
        <f t="shared" si="33"/>
        <v>-3809</v>
      </c>
      <c r="L55" s="24">
        <f>+I55/J55</f>
        <v>0.12637614678899081</v>
      </c>
    </row>
    <row r="56" spans="2:12" s="7" customFormat="1" ht="15.75">
      <c r="B56" s="10">
        <f>B55+B54</f>
        <v>5797</v>
      </c>
      <c r="C56" s="10">
        <f t="shared" ref="C56:D56" si="34">C55+C54</f>
        <v>6356</v>
      </c>
      <c r="D56" s="10">
        <f t="shared" si="34"/>
        <v>-559</v>
      </c>
      <c r="E56" s="24">
        <f>+B56/C56</f>
        <v>0.91205160478288227</v>
      </c>
      <c r="G56" s="7" t="s">
        <v>43</v>
      </c>
      <c r="I56" s="10">
        <f>I54+I55</f>
        <v>17846</v>
      </c>
      <c r="J56" s="10">
        <f t="shared" ref="J56:K56" si="35">J55+J54</f>
        <v>76258</v>
      </c>
      <c r="K56" s="10">
        <f t="shared" si="35"/>
        <v>-58412</v>
      </c>
      <c r="L56" s="24">
        <f>+I56/J56</f>
        <v>0.23402134857982113</v>
      </c>
    </row>
    <row r="57" spans="2:12" ht="12" customHeight="1">
      <c r="E57" s="24"/>
      <c r="L57" s="25"/>
    </row>
    <row r="58" spans="2:12" ht="18.75">
      <c r="B58" s="9">
        <f>B50+B46+B44+B40+B36+B32+B28+B23+B52+B56</f>
        <v>407212</v>
      </c>
      <c r="C58" s="9">
        <f>C50+C46+C44+C40+C36+C32+C28+C23+C52+C56</f>
        <v>277349</v>
      </c>
      <c r="D58" s="9">
        <f>B58-C58</f>
        <v>129863</v>
      </c>
      <c r="E58" s="24">
        <f>+B58/C58</f>
        <v>1.4682295591475001</v>
      </c>
      <c r="F58" s="6"/>
      <c r="G58" s="6" t="s">
        <v>27</v>
      </c>
      <c r="H58" s="6"/>
      <c r="I58" s="9">
        <f>I50+I46+I44+I40+I36+I32+I28+I23+I52+I56</f>
        <v>966457.33</v>
      </c>
      <c r="J58" s="9">
        <f>J50+J46+J44+J40+J36+J32+J28+J23+J52+J56</f>
        <v>3328182</v>
      </c>
      <c r="K58" s="9">
        <f>I58-J58</f>
        <v>-2361724.67</v>
      </c>
      <c r="L58" s="24">
        <f>+I58/J58</f>
        <v>0.29038596146484774</v>
      </c>
    </row>
    <row r="59" spans="2:12" ht="18.75">
      <c r="B59" s="9">
        <f>B15-B58</f>
        <v>-154101</v>
      </c>
      <c r="C59" s="9">
        <f>C15-C58</f>
        <v>3776</v>
      </c>
      <c r="D59" s="9">
        <f>B59-C59</f>
        <v>-157877</v>
      </c>
      <c r="E59" s="16"/>
      <c r="F59" s="6"/>
      <c r="G59" s="6" t="s">
        <v>28</v>
      </c>
      <c r="H59" s="6"/>
      <c r="I59" s="9">
        <f>I15-I58</f>
        <v>-136005.32999999996</v>
      </c>
      <c r="J59" s="9">
        <f>J15-J58</f>
        <v>45345</v>
      </c>
      <c r="K59" s="9">
        <f>I59-J59</f>
        <v>-181350.32999999996</v>
      </c>
      <c r="L59" s="16"/>
    </row>
    <row r="62" spans="2:12">
      <c r="B62" t="s">
        <v>49</v>
      </c>
    </row>
    <row r="63" spans="2:12">
      <c r="B63" t="s">
        <v>52</v>
      </c>
    </row>
    <row r="64" spans="2:12">
      <c r="B64" t="s">
        <v>50</v>
      </c>
    </row>
    <row r="65" spans="2:2">
      <c r="B65" t="s">
        <v>53</v>
      </c>
    </row>
  </sheetData>
  <mergeCells count="2">
    <mergeCell ref="B4:E4"/>
    <mergeCell ref="I4:L4"/>
  </mergeCells>
  <conditionalFormatting sqref="E1:E4 E6 E16:E1048576">
    <cfRule type="cellIs" dxfId="7" priority="18" operator="greaterThan">
      <formula>1</formula>
    </cfRule>
  </conditionalFormatting>
  <conditionalFormatting sqref="L4">
    <cfRule type="cellIs" dxfId="6" priority="17" operator="greaterThan">
      <formula>0.25</formula>
    </cfRule>
  </conditionalFormatting>
  <conditionalFormatting sqref="E7:E15">
    <cfRule type="cellIs" dxfId="5" priority="15" operator="lessThan">
      <formula>1</formula>
    </cfRule>
  </conditionalFormatting>
  <conditionalFormatting sqref="L4:L5">
    <cfRule type="cellIs" dxfId="4" priority="12" operator="lessThan">
      <formula>24</formula>
    </cfRule>
  </conditionalFormatting>
  <conditionalFormatting sqref="L18">
    <cfRule type="cellIs" dxfId="3" priority="9" operator="greaterThan">
      <formula>24</formula>
    </cfRule>
    <cfRule type="cellIs" dxfId="2" priority="8" operator="greaterThan">
      <formula>0.24</formula>
    </cfRule>
  </conditionalFormatting>
  <conditionalFormatting sqref="L6:L14">
    <cfRule type="cellIs" dxfId="1" priority="3" operator="lessThan">
      <formula>0.25</formula>
    </cfRule>
  </conditionalFormatting>
  <conditionalFormatting sqref="L19:L58">
    <cfRule type="cellIs" dxfId="0" priority="1" operator="greaterThan">
      <formula>0.253</formula>
    </cfRule>
  </conditionalFormatting>
  <pageMargins left="0" right="0" top="0" bottom="0" header="0.05" footer="0.05"/>
  <pageSetup scale="79" orientation="portrait" r:id="rId1"/>
  <headerFooter>
    <oddHeader>&amp;L&amp;8&amp;D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Financial Summary Rpt</vt:lpstr>
      <vt:lpstr>'Monthly Financial Summary Rpt'!Print_Area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sgossett</cp:lastModifiedBy>
  <cp:lastPrinted>2018-07-26T18:11:35Z</cp:lastPrinted>
  <dcterms:created xsi:type="dcterms:W3CDTF">2012-11-05T20:18:57Z</dcterms:created>
  <dcterms:modified xsi:type="dcterms:W3CDTF">2018-07-26T18:14:05Z</dcterms:modified>
</cp:coreProperties>
</file>